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<sst xmlns="http://schemas.openxmlformats.org/spreadsheetml/2006/main" count="2917" uniqueCount="1131">
  <si>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</si>
  <si>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</si>
  <si>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 xml:space="preserve">Расходы по СИТА </t>
  </si>
  <si>
    <t>г.Амстердам, Нидерланды</t>
  </si>
  <si>
    <t>Апрель-Май 2013</t>
  </si>
  <si>
    <t>31-2 У</t>
  </si>
  <si>
    <t>1-3 У</t>
  </si>
  <si>
    <t>строка уменьшена на 1-3 У</t>
  </si>
  <si>
    <t xml:space="preserve">строка исключена </t>
  </si>
  <si>
    <t>71-1 У</t>
  </si>
  <si>
    <t>Био-математическая система моделирования утомляемости экипажей c услугой технической поддержки</t>
  </si>
  <si>
    <t>65-2 У</t>
  </si>
  <si>
    <t>61.10.30.01.00.00.00</t>
  </si>
  <si>
    <t xml:space="preserve">Услуги по передаче данных </t>
  </si>
  <si>
    <t>Услуги по передаче данных по сетям телекоммуникационным проводным</t>
  </si>
  <si>
    <t>Услуги по передаче сообщений типа "Б"</t>
  </si>
  <si>
    <t xml:space="preserve">Май 2013 </t>
  </si>
  <si>
    <t>Казахстан, Страны 
ближнего и дальнего зарубежья</t>
  </si>
  <si>
    <t>39 Т</t>
  </si>
  <si>
    <t>26.40.33.00.00.00.10.01.1</t>
  </si>
  <si>
    <t>Система видеонаблюдения</t>
  </si>
  <si>
    <t>комплекс оборудования для видеонаблюдения</t>
  </si>
  <si>
    <t>Система обзора пространства перед дверью пилотской кабины для воздушных судов Боинг 767</t>
  </si>
  <si>
    <t xml:space="preserve">30.30.50.00.00.00.44.10.1
</t>
  </si>
  <si>
    <t>Система связи</t>
  </si>
  <si>
    <t>в целях управления воздушным движением 
между диспетчером и пилотом с использованием линии передачи данных</t>
  </si>
  <si>
    <t>25.29.11.00.00.15.10.00.1</t>
  </si>
  <si>
    <t>Резервуар</t>
  </si>
  <si>
    <t>наземный, для хранения нефтепродуктов</t>
  </si>
  <si>
    <t>56.10.19.20.10.10.00</t>
  </si>
  <si>
    <t>Услуги по обеспечению питанием на воздушных судах</t>
  </si>
  <si>
    <t>февраль-март2013</t>
  </si>
  <si>
    <t>Питание на борту г. Киев</t>
  </si>
  <si>
    <t>55-1 У</t>
  </si>
  <si>
    <t>55-2 У</t>
  </si>
  <si>
    <t>55-3 У</t>
  </si>
  <si>
    <t>Бортовое питание пассажиров на 2013-2015 гг</t>
  </si>
  <si>
    <t>сентябрь-октябрь2012</t>
  </si>
  <si>
    <t>Бортовое питание пассажиров в г.Москва</t>
  </si>
  <si>
    <t>Бортовое питание пассажиров в г.Франкфурт</t>
  </si>
  <si>
    <t>Россия, г.Москва</t>
  </si>
  <si>
    <t>строка уменьшена на 55-1 У, 55-2 У, 55-3 У, 74 У</t>
  </si>
  <si>
    <t>82 У</t>
  </si>
  <si>
    <t>78.10.11.10.00.00.00</t>
  </si>
  <si>
    <t>Услуги по поиску руководящих работников</t>
  </si>
  <si>
    <t>Поиск руководящих работников для последующего найма</t>
  </si>
  <si>
    <t>Услуги рекрутингового агентства по поиску кандидата на позицию "Директор по обучению и стандартам производства полетов"</t>
  </si>
  <si>
    <t>71-2 У</t>
  </si>
  <si>
    <t>80.10.12.20.00.00.00</t>
  </si>
  <si>
    <t>Услуги по инкассации</t>
  </si>
  <si>
    <t>56-13 У</t>
  </si>
  <si>
    <t>56-14 У</t>
  </si>
  <si>
    <t>56-15 У</t>
  </si>
  <si>
    <t>56-16 У</t>
  </si>
  <si>
    <t>56-17 У</t>
  </si>
  <si>
    <t>56-18 У</t>
  </si>
  <si>
    <t>56-19 У</t>
  </si>
  <si>
    <t>56-20 У</t>
  </si>
  <si>
    <t>56-21 У</t>
  </si>
  <si>
    <t>56-22 У</t>
  </si>
  <si>
    <t>56-23 У</t>
  </si>
  <si>
    <t>91-1 У</t>
  </si>
  <si>
    <t>92-1 У</t>
  </si>
  <si>
    <t>19-1 Р</t>
  </si>
  <si>
    <t>Сентябрь 2013</t>
  </si>
  <si>
    <t>95 У</t>
  </si>
  <si>
    <t>58.29.50.20.11.00.00</t>
  </si>
  <si>
    <t>Услуги по предоставлению лицензий на право использования  программ для управления базами данных</t>
  </si>
  <si>
    <t>Услуги по предоставлению лицензий на право использования  программ для управления базами данных,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</si>
  <si>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 xml:space="preserve">Доступ к Базе данных Ascend </t>
  </si>
  <si>
    <t>33-4 У</t>
  </si>
  <si>
    <t>33-5 У</t>
  </si>
  <si>
    <t>33-6 У</t>
  </si>
  <si>
    <t>Услуги по наземному обслуживанию воздушных судов в г. Франкфурт</t>
  </si>
  <si>
    <t>52.23.11.19.09.10.00</t>
  </si>
  <si>
    <t>Услуги по наземному обслуживанию  пассажиров в г. Франкфурт</t>
  </si>
  <si>
    <t>Услуги по грузообслуживанию воздушных судов в г. Франкфурт</t>
  </si>
  <si>
    <t>г. Франкфурт Германия</t>
  </si>
  <si>
    <t>65-6 У</t>
  </si>
  <si>
    <t>65-7 У</t>
  </si>
  <si>
    <t>65-8 У</t>
  </si>
  <si>
    <t>65-9 У</t>
  </si>
  <si>
    <t>65-10 У</t>
  </si>
  <si>
    <t>65-11 У</t>
  </si>
  <si>
    <t>65-12 У</t>
  </si>
  <si>
    <t>65-13 У</t>
  </si>
  <si>
    <t>65-14 У</t>
  </si>
  <si>
    <t>65-15 У</t>
  </si>
  <si>
    <t>Расходы по СИТА, услуга прямого доступа к сети SITA (IP VPN)</t>
  </si>
  <si>
    <t>Расходы по СИТА, услуга доступа через сети SITA (Circuit)</t>
  </si>
  <si>
    <t>Расходы по СИТА, услуга доступа через сети SITA (ServiceNet)</t>
  </si>
  <si>
    <t>Расходы по СИТА, услуга подключения станции к сети SITA (Express IP)</t>
  </si>
  <si>
    <t>Расходы по СИТА, услуга подключения станции к сети SITA (MDNS at Airport)</t>
  </si>
  <si>
    <t>Расходы по СИТА, услуга подключения платформы к сети SITA (Cute MDNS)</t>
  </si>
  <si>
    <t>Расходы по СИТА, услуга пользования адресом Типа "Б"</t>
  </si>
  <si>
    <t>Расходы по СИТА, Трафик Типа "Б" (Type B traffic)</t>
  </si>
  <si>
    <t>Расходы по СИТА, услуга по использоваению Системы обмена сообщениями (Sitatex)</t>
  </si>
  <si>
    <t xml:space="preserve">Расходы по СИТА, услуги по содержанию и обслуживанию оборудования для системы регистрации и посадки пассажиров в международном аэропорту г. Франкфурт-на-Майне. </t>
  </si>
  <si>
    <t>Сентябрь 2013 год</t>
  </si>
  <si>
    <t xml:space="preserve">1-1 У </t>
  </si>
  <si>
    <t>Май 2013г.</t>
  </si>
  <si>
    <t>26-1 У</t>
  </si>
  <si>
    <t>сентябрь-октябрь 2013</t>
  </si>
  <si>
    <t>уменьшена на 26-1 У</t>
  </si>
  <si>
    <t>56-24 У</t>
  </si>
  <si>
    <t>Гостиничные услуги в г. Алматы
(одноместный стандартный номер в пятизвездочной гостинице).</t>
  </si>
  <si>
    <t>Гостиничные услуги в г. Алматы
(двухместный/с раздельными кроватями  стандартный номер в пятизвездочной гостинице).</t>
  </si>
  <si>
    <t>Гостиничные услуги в г. Алматы
(одноместный стандартный номер в четырехзвездочной гостинице).</t>
  </si>
  <si>
    <t>Гостиничные услуги в г. Алматы
(двухместный/с раздельными кроватями  стандартный номер в четырехзвездочной гостинице).</t>
  </si>
  <si>
    <t>Гостиничные услуги в г. Алматы
(одноместный стандартный номер в трехзвездочной гостинице).</t>
  </si>
  <si>
    <t>Гостиничные услуги в г. Алматы (двухместный/с раздельными кроватями  стандартный номер в трехзвездочной гостинице).</t>
  </si>
  <si>
    <t>Гостиничные услуги в г. Астане
(одноместный стандартный номер в пятизвездочной гостинице).</t>
  </si>
  <si>
    <t>Гостиничные услуги в г. Астане
(двухместный/с раздельными кроватями  стандартный номер в пятизвездочной гостинице).</t>
  </si>
  <si>
    <t>Гостиничные услуги в г. Астане
(одноместный стандартный номер в четырехзвездочной гостинице).</t>
  </si>
  <si>
    <t>Гостиничные услуги в г. Астане
(двухместный/с раздельными кроватями  стандартный номер в четырехзвездочной гостинице).</t>
  </si>
  <si>
    <t>Гостиничные услуги в г. Астане
(одноместный стандартный номер в трехзвездочной гостинице).</t>
  </si>
  <si>
    <t>Гостиничные услуги в г. Астане
(двухместный/с раздельными кроватями  стандартный номер в трехзвездочной гостинице).</t>
  </si>
  <si>
    <t>июнь-июль 2013</t>
  </si>
  <si>
    <t>г. Астана</t>
  </si>
  <si>
    <t>100 % по факту оказания услуг</t>
  </si>
  <si>
    <t>83 У</t>
  </si>
  <si>
    <t>84 У</t>
  </si>
  <si>
    <t>85 У</t>
  </si>
  <si>
    <t>86 У</t>
  </si>
  <si>
    <t>49.31.22.10.10.00.00</t>
  </si>
  <si>
    <t>Услуги по перевозкам внутригородские специальные пассажирские автобусами (автомобилями) по маршруту город-аэропорт или город-вокзал</t>
  </si>
  <si>
    <t>Перевозки внутригородские специальные пассажирские автобусами (автомобилями) по маршруту город-аэропорт или город-вокзал</t>
  </si>
  <si>
    <t>Услуга трансфера г. Алматы (аэропорт – гостиница – аэропорт)</t>
  </si>
  <si>
    <t>49.31.22.10.10.00.01</t>
  </si>
  <si>
    <t>Услуга трансфера г. Астана (аэропорт – гостиница – аэропорт)</t>
  </si>
  <si>
    <t>49.39.32.10.00.00.00</t>
  </si>
  <si>
    <t>Услуги внутригородских и пригородных экскурсионных автобусов</t>
  </si>
  <si>
    <t>Услуги по организации и проведению обзорной экскурсии по г. Алматы</t>
  </si>
  <si>
    <t>Услуги по организации и проведению обзорной экскурсии по г. Астане</t>
  </si>
  <si>
    <t>Казахстан, г.Алматы</t>
  </si>
  <si>
    <t>г. Астана Казахстан</t>
  </si>
  <si>
    <t>г. Алматы Казахстан</t>
  </si>
  <si>
    <t>26.40.34.10.10.10.10.10.1</t>
  </si>
  <si>
    <t>Система аудио и видеоаппаратуры для показа развлекательных программ</t>
  </si>
  <si>
    <t>Комплекс аудио и видеоаппаратуры для показа развлекательных программ</t>
  </si>
  <si>
    <t>41.00.20.00.00.00.10.55.1</t>
  </si>
  <si>
    <t>Специальное помещение для стоянки, технического обслуживания и 
ремонта ВС</t>
  </si>
  <si>
    <t>Услуги инкассации, пересчета, перечисления денежных средств и доставки ценностей в городе Москва</t>
  </si>
  <si>
    <t>56-2 У</t>
  </si>
  <si>
    <t>56-4 У</t>
  </si>
  <si>
    <t>56-3 У</t>
  </si>
  <si>
    <t>56-5 У</t>
  </si>
  <si>
    <t>56-6 У</t>
  </si>
  <si>
    <t>56-7 У</t>
  </si>
  <si>
    <t>56-8 У</t>
  </si>
  <si>
    <t>56-9 У</t>
  </si>
  <si>
    <t>56-10 У</t>
  </si>
  <si>
    <t>56-11 У</t>
  </si>
  <si>
    <t>56-12 У</t>
  </si>
  <si>
    <t xml:space="preserve">Гостиничные услуги в городе Оренбург на 2013-2014 гг. (однокомнатный одноместный номер в 3 звездочной гостинице). </t>
  </si>
  <si>
    <t xml:space="preserve">Гостиничные услуги в городе Оренбург на 2013-2014 гг. (однокомнатный двухместный номер в 3 звездочной гостинице). </t>
  </si>
  <si>
    <t xml:space="preserve">Гостиничные услуги в городе Оренбург на 2013-2014 гг. (двухкомнатный одноместный номер в 3 звездочной гостинице). </t>
  </si>
  <si>
    <t xml:space="preserve">Гостиничные услуги в городе Оренбург на 2013-2014 гг. (двухкомнатный двухместный номер в 3 звездочной гостинице). </t>
  </si>
  <si>
    <t xml:space="preserve">Гостиничные услуги в городе Оренбург на 2013-2014 гг. (трехкомнатный одноместный номер в 3 звездочной гостинице). </t>
  </si>
  <si>
    <t xml:space="preserve">Гостиничные услуги в городе Оренбург на 2013-2014 гг. (однокомнатный полулюкс в 3 звездочной гостинице). </t>
  </si>
  <si>
    <t xml:space="preserve">Гостиничные услуги в городе Оренбург на 2013-2014 гг. (однокомнатный двухместный полулюкс в 3 звездочной гостинице). </t>
  </si>
  <si>
    <t xml:space="preserve">Гостиничные услуги в городе Оренбург на 2013-2014 гг. (однокомнатный номер 2-категории в 3 звездочной гостинице). </t>
  </si>
  <si>
    <t xml:space="preserve">Гостиничные услуги в городе Оренбург на 2013-2014 гг. (двухкомнатный полулюкс в 3 звездочной гостинице). </t>
  </si>
  <si>
    <t xml:space="preserve">Гостиничные услуги в городе Франкфурт на 2013-2014 гг. (одноместный номер в 5 звездочной гостинице). </t>
  </si>
  <si>
    <t xml:space="preserve">Гостиничные услуги в городе Франкфурт на 2013-2014 гг. (двухместный номер в 5 звездочной гостинице). </t>
  </si>
  <si>
    <t>г. Оренбург</t>
  </si>
  <si>
    <t>г. Франкфурт</t>
  </si>
  <si>
    <t>Работа по ремонту Вспомогательной Силовой установки ВС (Организация должна быть сертифицирована в соответствии со стандартами EASA Part 145; ремонтный завод производителя)</t>
  </si>
  <si>
    <t>16-1 Р</t>
  </si>
  <si>
    <t xml:space="preserve">Новые широкофюзеляжные воздушные суда </t>
  </si>
  <si>
    <t>EXW</t>
  </si>
  <si>
    <t> 15% предоплата</t>
  </si>
  <si>
    <t>Новые широкофюзеляжные воздушные суда нового поколения</t>
  </si>
  <si>
    <t>17% предоплата</t>
  </si>
  <si>
    <t>Республика Казахстан или страны
Ближнего и Дальнего Зарубежья</t>
  </si>
  <si>
    <t>декабрь 2011</t>
  </si>
  <si>
    <t>2013г</t>
  </si>
  <si>
    <t>2014 г</t>
  </si>
  <si>
    <t>2015 г</t>
  </si>
  <si>
    <t>2016 г</t>
  </si>
  <si>
    <t>2017 г</t>
  </si>
  <si>
    <t>июнь 2012</t>
  </si>
  <si>
    <t>ноябрь 2012</t>
  </si>
  <si>
    <t>2. Работы</t>
  </si>
  <si>
    <t>октябрь 2012</t>
  </si>
  <si>
    <t>август 2012</t>
  </si>
  <si>
    <t>июль 2012</t>
  </si>
  <si>
    <r>
      <t xml:space="preserve">Модернизация и модификация компьютеров на борту воздушных судов типа Boeing </t>
    </r>
    <r>
      <rPr>
        <sz val="10"/>
        <rFont val="Times New Roman"/>
        <family val="1"/>
      </rPr>
      <t>757-200/ Boeing 767-300; Airbus A320/321</t>
    </r>
  </si>
  <si>
    <t>май 2012</t>
  </si>
  <si>
    <t>март 2012</t>
  </si>
  <si>
    <t>май -июнь 2012</t>
  </si>
  <si>
    <t>сентябрь 2012</t>
  </si>
  <si>
    <t>3. Услуги</t>
  </si>
  <si>
    <t>сентябрь 2011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</si>
  <si>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</si>
  <si>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</si>
  <si>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</si>
  <si>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</si>
  <si>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</si>
  <si>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</si>
  <si>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</si>
  <si>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</si>
  <si>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</si>
  <si>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1. Товары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</si>
  <si>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</si>
  <si>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</si>
  <si>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</si>
  <si>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</si>
  <si>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</si>
  <si>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</si>
  <si>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</si>
  <si>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</si>
  <si>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</si>
  <si>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</si>
  <si>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</si>
  <si>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</si>
  <si>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Алматы</t>
  </si>
  <si>
    <t>г.Алматы, ул. Закарпатская 8А, склад АО "Эйр Астана"</t>
  </si>
  <si>
    <t>50 % -предоплата      50 %- после установки</t>
  </si>
  <si>
    <t>Оттоманка для кресел воздушного судна</t>
  </si>
  <si>
    <t>Конструкции для дополнения кресел бизнес класса</t>
  </si>
  <si>
    <t>для установки на в/с 
типа Boeing 767-300ER</t>
  </si>
  <si>
    <t>Система комфорта для кресел воздушного судна</t>
  </si>
  <si>
    <t>Встроенные воздушные подушки, с электронным контролем распределения воздушного потока и устанавливаемые под обивочной тканью на спинке и сидении кресла.</t>
  </si>
  <si>
    <t>комплект</t>
  </si>
  <si>
    <t>Модификационный комплект для установки законцовок на крыло новых самолетов Боинг 767-300ER</t>
  </si>
  <si>
    <t xml:space="preserve">Модификационный комплект </t>
  </si>
  <si>
    <t>50 % -предоплата      50 %- после поставки</t>
  </si>
  <si>
    <t>Система внутренней подсветки и расходные материалы для установки на  новых воздушных судов Боинг 767-300. Организация должна быть сертифицирована в соответствии со стандартами EASA/JAR-145.</t>
  </si>
  <si>
    <t>Страны Ближнего и Дальнего Зарубежья, город Алматы</t>
  </si>
  <si>
    <t>100% по факту оказания услуги</t>
  </si>
  <si>
    <t>штука</t>
  </si>
  <si>
    <t>г.Алматы, Республика Казахстан, страны ближнего и дальнего зарубежья</t>
  </si>
  <si>
    <t>Республика Казахстан, страны Ближнего и Дальнего зарубежья</t>
  </si>
  <si>
    <t>100% предоплата</t>
  </si>
  <si>
    <t>Кресла бизнес класса для ВС Боинг 767</t>
  </si>
  <si>
    <t>Кресла эконом класса для ВС Боинг 767</t>
  </si>
  <si>
    <t>Система видео и аудио развлечения для ВС Боинг 767</t>
  </si>
  <si>
    <t xml:space="preserve">апрель 2012 </t>
  </si>
  <si>
    <t>50% предоплата, 50% по факту доставки</t>
  </si>
  <si>
    <t>шт.</t>
  </si>
  <si>
    <t>50% предоплата, 50 % по факту оказания услуги</t>
  </si>
  <si>
    <t>ОТ</t>
  </si>
  <si>
    <t>Авионические приборы и оборудование для воздушных судов типа Эйрбас</t>
  </si>
  <si>
    <t>г.Алматы</t>
  </si>
  <si>
    <t>г.Алматы,  АО "Эйр Астана"</t>
  </si>
  <si>
    <t>100 % предоплата</t>
  </si>
  <si>
    <t>Установка  бизнес кресел, эконом кресел, оттоманок, навесных видеомониторов, коврового покрытия, винглетов, транспарантов и тд</t>
  </si>
  <si>
    <t>Страны Дальнего Зарубежья</t>
  </si>
  <si>
    <t>      Работы по модернизации пассажирской кислородной системы - увеличение продолжительности обеспечения кислородом  с 12 минут до 22 минут на  воздушных судах типа Boeing 757</t>
  </si>
  <si>
    <t xml:space="preserve">г.Алматы </t>
  </si>
  <si>
    <t>Лизинг воздушных судов Embraer 190</t>
  </si>
  <si>
    <t>Услуги операционного лизинга трех воздушных судов типа Embraer Е190</t>
  </si>
  <si>
    <t>Республика Казахстан</t>
  </si>
  <si>
    <t>ежемесячные лизинговые платежи</t>
  </si>
  <si>
    <t xml:space="preserve">Лизинг воздушных судов Airbus 321 </t>
  </si>
  <si>
    <t>Услуги по операционному лизингу воздушного судна Airbus 321 с серийным номером производителя 1204</t>
  </si>
  <si>
    <t>ОИ</t>
  </si>
  <si>
    <t xml:space="preserve">Лизинг воздушных судов </t>
  </si>
  <si>
    <t>Услуги по предоставлению обучения для кадетов по управлению воздушными судами</t>
  </si>
  <si>
    <t>67-6 У</t>
  </si>
  <si>
    <t>67-8 У</t>
  </si>
  <si>
    <t>67-9 У</t>
  </si>
  <si>
    <t>67-7 У</t>
  </si>
  <si>
    <t>67-10 У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</si>
  <si>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</si>
  <si>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</si>
  <si>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</si>
  <si>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Услуги круглосуточной охраны объектов</t>
  </si>
  <si>
    <t>Услуги круглосуточной вооруженной охраны</t>
  </si>
  <si>
    <t>г. Атырау</t>
  </si>
  <si>
    <t>60-2 У</t>
  </si>
  <si>
    <t>Гостиничные услуги для организации участия пилотов в тренинге на 2013-2014гг.</t>
  </si>
  <si>
    <t xml:space="preserve">100% по факту </t>
  </si>
  <si>
    <t>Франция, г. Тулуза</t>
  </si>
  <si>
    <t>20.52.10.00.00.00.15.10.3</t>
  </si>
  <si>
    <t>Жидкость герметизирующая</t>
  </si>
  <si>
    <t>герметик</t>
  </si>
  <si>
    <t>Герметик предназначен для создания герметичного соединения деталей между собой и предотвращения коррозии</t>
  </si>
  <si>
    <t>20.52.10.00.00.00.15.10.2</t>
  </si>
  <si>
    <t>Герметик двухкомпонентный, состоит из отвердителя дихромат и полисульфидных соединений.</t>
  </si>
  <si>
    <t>Резиновый герметик, однородная масса (базовый состав – светло-коричневый, затвердитель - черный)</t>
  </si>
  <si>
    <t>Интегральный герметик для топливного бака</t>
  </si>
  <si>
    <t>Герметик предназначенный для защиты от коррозий элементов конструкции планера.</t>
  </si>
  <si>
    <t>Герметик на полиуретановой основе</t>
  </si>
  <si>
    <t>28.29.82.00.00.00.17.10.1</t>
  </si>
  <si>
    <t xml:space="preserve">Кассета фильтра (картридж) </t>
  </si>
  <si>
    <t>сменный элемент фильтра для очистки воды</t>
  </si>
  <si>
    <t xml:space="preserve">
Сменный элемент фильтра для очистки воды устанавливаемый на самолетах типа  Airbus A319/132</t>
  </si>
  <si>
    <t>Фильтр для очистки воды устанавливаемый на самолетах типа A 321/231</t>
  </si>
  <si>
    <t>19.20.29.00.00.20.52.14.1</t>
  </si>
  <si>
    <t>Смазка универсальная</t>
  </si>
  <si>
    <t>универсальная для использования в любых механизмах</t>
  </si>
  <si>
    <t>Предназначена для смазки резьбовых соединений</t>
  </si>
  <si>
    <t>20.59.59.00.19.02.01.01.1</t>
  </si>
  <si>
    <t>Обезжириватель</t>
  </si>
  <si>
    <t>жидкость для обезжиривания</t>
  </si>
  <si>
    <t xml:space="preserve">Обезжиривающий растворитель со специфическим запахом.
Используется для эффективной сухой чистки текстильных материалов. 
</t>
  </si>
  <si>
    <t>22.29.29.00.00.00.91.01.2</t>
  </si>
  <si>
    <t>Антикоррозийная пленка</t>
  </si>
  <si>
    <t>Предназначен для зашиты от коррозии элементов конструкции планера</t>
  </si>
  <si>
    <t>20.59.59.00.19.02.01.01.4</t>
  </si>
  <si>
    <t>Используется для очистки и обезжиривания частей и поверхностей самолета</t>
  </si>
  <si>
    <t>Антикоррозийный состав образующий водоотталкивающую защитную пленку</t>
  </si>
  <si>
    <t>20.52.10.00.00.00.09.03.3</t>
  </si>
  <si>
    <t>Клей</t>
  </si>
  <si>
    <t>эпоксидный универсальный</t>
  </si>
  <si>
    <t>Клей эпоксидный, универсальный наносится как покрытие на металлические поверхности</t>
  </si>
  <si>
    <t>20.41.32.00.00.00.60.30.2</t>
  </si>
  <si>
    <t>Моющее средство</t>
  </si>
  <si>
    <t>Моющее средство для металлических поверхностей</t>
  </si>
  <si>
    <t>Моющее средство для промывки двигателей.</t>
  </si>
  <si>
    <t>20.59.59.00.16.05.01.01.1</t>
  </si>
  <si>
    <t>Замазка</t>
  </si>
  <si>
    <t>Предназначена для ремонта панелей из компазитного материала</t>
  </si>
  <si>
    <t xml:space="preserve">Металлические емкости с вязкой субстанцией
</t>
  </si>
  <si>
    <t xml:space="preserve">Моющее средство </t>
  </si>
  <si>
    <t>для металических поверхностей</t>
  </si>
  <si>
    <t>Очиститель для поверхностей из нержавеющей стали</t>
  </si>
  <si>
    <t xml:space="preserve">Грунтовочный состав на основе полиуретана.
</t>
  </si>
  <si>
    <t>Средство для удаления лакокрасочных покрытий</t>
  </si>
  <si>
    <t>20.14.32.00.00.10.12.10.3</t>
  </si>
  <si>
    <t>Уксусная кислота</t>
  </si>
  <si>
    <t>техническая</t>
  </si>
  <si>
    <t>Применяется  при дезинфекционной обработки водной системы самолета</t>
  </si>
  <si>
    <t>20.59.59.00.11.00.00.26.2</t>
  </si>
  <si>
    <t>Пенетрант</t>
  </si>
  <si>
    <t>специальное индикаторное вещество, проникающее в дефекты материала под действием сил капиллярности</t>
  </si>
  <si>
    <t>Постэмульгируемый пенетрант для капиллярного контроля по 3 классу чувствительности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</si>
  <si>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</si>
  <si>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</si>
  <si>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</si>
  <si>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</si>
  <si>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</si>
  <si>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</si>
  <si>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</si>
  <si>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</si>
  <si>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</si>
  <si>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</si>
  <si>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</si>
  <si>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</si>
  <si>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</si>
  <si>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</si>
  <si>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</si>
  <si>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</si>
  <si>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</si>
  <si>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</si>
  <si>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</si>
  <si>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</si>
  <si>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</si>
  <si>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 xml:space="preserve"> в течение 30 ( тридцати) рабочих дней после размещения заказа </t>
  </si>
  <si>
    <t xml:space="preserve">литр </t>
  </si>
  <si>
    <t xml:space="preserve">кг </t>
  </si>
  <si>
    <t xml:space="preserve">килограмм </t>
  </si>
  <si>
    <t>литр</t>
  </si>
  <si>
    <t>киллограмм</t>
  </si>
  <si>
    <t xml:space="preserve">Литр </t>
  </si>
  <si>
    <t xml:space="preserve">штука </t>
  </si>
  <si>
    <t>Услуги по  доставке мелкогабаритных грузов</t>
  </si>
  <si>
    <t>90 У</t>
  </si>
  <si>
    <t>52.21.11.20.20.00.00</t>
  </si>
  <si>
    <t>Услуги диспетчерские</t>
  </si>
  <si>
    <t>Предоставление услуг по  активации функции Связь "диспетчер – пилот" по линии передачи данных (CPDLC- Controller Pilot Data Link Communications) на  воздушном судне типа Boeing 757 P4-EAS/FAS/GAS</t>
  </si>
  <si>
    <t>50% предоплата 50%  по факту поставки</t>
  </si>
  <si>
    <t>38-1 Т</t>
  </si>
  <si>
    <t>38-2 Т</t>
  </si>
  <si>
    <t>Cистемa  активации функции "Связь диспетчер – пилот" по линии передачи данных  на  воздушном судне типа Boeing 757 P4-GAS</t>
  </si>
  <si>
    <t>Cистемa  активации функции "Связь диспетчер – пилот" по линии передачи данных  на  воздушном судне типа Boeing 757 P4 - EAS/FAS</t>
  </si>
  <si>
    <t>91 У</t>
  </si>
  <si>
    <t>92 У</t>
  </si>
  <si>
    <t>77.39.14.10.00.00.00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</si>
  <si>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</si>
  <si>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</si>
  <si>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</si>
  <si>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</si>
  <si>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</si>
  <si>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август 2013</t>
  </si>
  <si>
    <t>100% оплата по факту оказания услуги</t>
  </si>
  <si>
    <t>строка уменьшена на  91 У,92 У, 93 У, 94 У</t>
  </si>
  <si>
    <t>93 У</t>
  </si>
  <si>
    <t>94 У</t>
  </si>
  <si>
    <t>82.19.12.00.00.10.00</t>
  </si>
  <si>
    <t>Услуги по составлению списков адресатов и рассылке материалов по ним</t>
  </si>
  <si>
    <t>Составление списков адресатов и рассылка материалов по ним</t>
  </si>
  <si>
    <t>Система по рассылке материалов</t>
  </si>
  <si>
    <t>Техническая  поддержка системы по рассылке материалов</t>
  </si>
  <si>
    <t>Услуга использованию системы регистрации пассажиров</t>
  </si>
  <si>
    <t>Гонконг</t>
  </si>
  <si>
    <t>65-4 У</t>
  </si>
  <si>
    <t>65-5 У</t>
  </si>
  <si>
    <t>Расходы по СИТА, услуги связи с воздушными суднами</t>
  </si>
  <si>
    <t>67-5 У</t>
  </si>
  <si>
    <t>68.20.12.00.00.00.07</t>
  </si>
  <si>
    <t>Услуги по аренде складских помещений</t>
  </si>
  <si>
    <t>Сентябрь 2013г.</t>
  </si>
  <si>
    <t>8-1 Р</t>
  </si>
  <si>
    <t>Услуги по технической поддержке тормозной системы и ее компонентов для ВС типа Эйрбас 321</t>
  </si>
  <si>
    <t>сентябрь 2013</t>
  </si>
  <si>
    <t>19 Р</t>
  </si>
  <si>
    <t>Текущий ремонт двигателей типа СF34-10, устанавливаемых на ВС Embraer 190</t>
  </si>
  <si>
    <t>70 % предоплата, 30 % по факту</t>
  </si>
  <si>
    <t>43 Т</t>
  </si>
  <si>
    <t xml:space="preserve">Система внутренней подсветки и расходные материалы для установки на  воздушное судно типа Боинг 767-200. </t>
  </si>
  <si>
    <t>Великобритания</t>
  </si>
  <si>
    <t>Услуги обслуживания пассажиров в бизнес залах аэропортов</t>
  </si>
  <si>
    <t>г. Бишкек</t>
  </si>
  <si>
    <t>Система регистрации пассажиров</t>
  </si>
  <si>
    <t>г. Алматы</t>
  </si>
  <si>
    <t xml:space="preserve">Услуга по разработке технической документации с предоставлением дополнительного сертификата типа для установки оборудования на Boeing 767-300ER. 
</t>
  </si>
  <si>
    <t>50 % предоплата, 50 % по факту доставки</t>
  </si>
  <si>
    <t>Услуги по уборке салонов воздушных судов в г. Франкфурт.</t>
  </si>
  <si>
    <t>Германия,                      г. Франкфурт</t>
  </si>
  <si>
    <t>По факту</t>
  </si>
  <si>
    <t>Услуги по обновлению и кодировке аудио - видео содержания  на борту воздушных судов типа Airbus 320/321</t>
  </si>
  <si>
    <t xml:space="preserve"> Получение аудио-видео содержания в MPEG закодированном формате согласованном с авиакомпанией</t>
  </si>
  <si>
    <t>Республика Казахстан, страны Дальнего и Ближнего Зарубежья</t>
  </si>
  <si>
    <t>Система реестров держателей ценных бумаг</t>
  </si>
  <si>
    <t>Ведение системы реестров держателей ценных бумаг</t>
  </si>
  <si>
    <t>100% по факту поставки</t>
  </si>
  <si>
    <t xml:space="preserve">Услуги по разработке технической документации с предоставлением дополнительного сертификата типа для установки оборудования на Boeing 767-300ER. </t>
  </si>
  <si>
    <t>Услуги по замене шасси на ВС типа Эйрбас 320</t>
  </si>
  <si>
    <t>Страны ближнего и дальнего зарубежья</t>
  </si>
  <si>
    <t>АО "Эйр Астана"</t>
  </si>
  <si>
    <t>30.30.50.00.00.00.30.10.1</t>
  </si>
  <si>
    <t>для установки на в/с
типа Boeing 767-300ER</t>
  </si>
  <si>
    <t>30.30.50.00.00.00.35.10.1</t>
  </si>
  <si>
    <t>30.30.50.00.00.10.00.10.1</t>
  </si>
  <si>
    <t>Кресло</t>
  </si>
  <si>
    <t>для воздушного судна</t>
  </si>
  <si>
    <t>30.30.50.00.00.00.31.10.1</t>
  </si>
  <si>
    <t>Система электрического снабжения</t>
  </si>
  <si>
    <t>для сидений воздушного судна</t>
  </si>
  <si>
    <t>Для сидений самолета типа Boeing 767-300ER, включая разработку дизайна, тестирование и сертификацию</t>
  </si>
  <si>
    <t xml:space="preserve">ПО индикации статуса рейса/полета  для воздушных судов типа Airbus 320/321. Двухмерная движущиеся карта, которая обеспечивает пассажиров подробной информацией о полете и широким ассортиментом карт. </t>
  </si>
  <si>
    <t>62.01.29.00.00.00.10.00.1</t>
  </si>
  <si>
    <t>Программное обеспечение</t>
  </si>
  <si>
    <t>Расходные материалы для технического обслуживания воздушных судов и систем воздушных судов, а также отдельных компонентов воздушных судов типа Boeing 757-200/ Boeing 767-300; Airbus A320/321; Embraer</t>
  </si>
  <si>
    <t>Приобретение наземного оборудования для воздушных судов типа Boeing 757-200/ Boeing 767-300; Airbus A320/321; Embraer</t>
  </si>
  <si>
    <t>Текущий и капитальный ремонт компонентов с ограниченным сроком службы и ремонт запасных частей для воздушных судов типа Boeing 767-300</t>
  </si>
  <si>
    <t>По факту выполнения работ в течение 30 дней</t>
  </si>
  <si>
    <t>Текущий и капитальный ремонт компонентов с ограниченным сроком службы и  ремонт запасных частей для воздушных судов типа Boeing 757-200</t>
  </si>
  <si>
    <t>Текущий и капитальный ремонт компонентов с ограниченным сроком службы и ремонт запасных частей для воздушных судов типа Airbus A320/A321</t>
  </si>
  <si>
    <t>Текущий и капитальный ремонт колес и тормозов для воздушных судов типа Boeing 767-300</t>
  </si>
  <si>
    <t>Текущий и капитальный ремонт колес и тормозов для воздушных судов типа Boeing 757-200</t>
  </si>
  <si>
    <t>Текущий и капитальный ремонт колес и тормозов для воздушных судов типа Airbus A320/A321</t>
  </si>
  <si>
    <t>Текущий и капитальный ремонт колес и тормозов для воздушных судов типа Embraer</t>
  </si>
  <si>
    <t>По факту оказания услуг в течение 30 дней</t>
  </si>
  <si>
    <t>Приобретение инструментов для обслуживания воздушных судов типа Boeing 757-200/ Boeing 767-300; Airbus A320/321; Embraer</t>
  </si>
  <si>
    <t>Аренда запасных частей для воздушных судов типа Boeing 767-300</t>
  </si>
  <si>
    <t>Аренда запасных частей для воздушных судов типа Boeing 757-200</t>
  </si>
  <si>
    <t>Аренда запасных частей для воздушных судов типа Airbus A320/A321</t>
  </si>
  <si>
    <t>Аренда запасных частей для воздушных судов типа Embraer</t>
  </si>
  <si>
    <t>Аренда двигателей  воздушных судов типа Boeing 767-300</t>
  </si>
  <si>
    <t>Аренда двигателей воздушных судов типа Boeing 757-200</t>
  </si>
  <si>
    <t>Аренда двигателей воздушных судов типа Airbus A320/A321</t>
  </si>
  <si>
    <t>Аренда двигателей воздушных судов типа Embraer</t>
  </si>
  <si>
    <t>Ремонт двигателей воздушных судов типа Boeing 767-300</t>
  </si>
  <si>
    <t>Ремонт двигателей воздушных судов типа Boeing 757-200</t>
  </si>
  <si>
    <t>Ремонт двигателей воздушных судов типа Airbus A320/A321</t>
  </si>
  <si>
    <t>Ремонт Вспомогательной силовой установки для воздушных судов типа Boeing 767-300</t>
  </si>
  <si>
    <t>Ремонт Вспомогательной силовой установки для воздушных судов типа Boeing 757-200</t>
  </si>
  <si>
    <t>Ремонт Вспомогательной силовой установки для воздушных судов типа Airbus A320/A321</t>
  </si>
  <si>
    <t>Калибровка и тестирование инструментов, аренда наземного оборудования для воздушных судов типа Boeing 757-200/ Boeing 767-300; Airbus A320/321; Embraer</t>
  </si>
  <si>
    <t>Техническая инспекция воздушных судов (включая техническую поддержку,  инженерную экспертизу, консультационные услуги, предоставляемые внешними агентами) типа Boeing 757-200/ Boeing 767-300; Airbus A320/321; Embraer</t>
  </si>
  <si>
    <t>Техническая документация для воздушных судов типа Boeing 757-200/ Boeing 767-300; Airbus A320/321; Embraer</t>
  </si>
  <si>
    <t>Приобретение оборотных запасных частей, приборов и оборудования для обслуживания воздушных судов типа Boeing 767-300</t>
  </si>
  <si>
    <t>По факту поставки товаров в течение 30 дней</t>
  </si>
  <si>
    <t>Приобретение оборотных запасных частей, приборов и оборудования для обслуживания воздушных судов типа Airbus A320/A321</t>
  </si>
  <si>
    <t>Приобретение оборотных запасных частей, приборов и оборудования для обслуживания воздушных судов типа Embraer</t>
  </si>
  <si>
    <t>30.30.50.00.00.00.37.10.1</t>
  </si>
  <si>
    <t>Модификационный комплект для установки законцовок на крыло воздушного судна</t>
  </si>
  <si>
    <t>30.30.50.00.00.00.39.10.1</t>
  </si>
  <si>
    <t>Система внутренней подсветки для воздушного судна</t>
  </si>
  <si>
    <t xml:space="preserve">Система внутренней подсветки </t>
  </si>
  <si>
    <t>ноябрь-декабрь 2012</t>
  </si>
  <si>
    <t>Итого</t>
  </si>
  <si>
    <t>15.11.22.00.00.00.00.20.2</t>
  </si>
  <si>
    <t>Кожа лаковая ламинированная</t>
  </si>
  <si>
    <t>Кожа натуральная выделанная, которая 
была покрыта предварительно формованным листом пластика (кожа лаковая или лаковая ламинированная)</t>
  </si>
  <si>
    <t>Кожа для кресел эконом класса  для установки на новых самолетах Боинг 767-300ER. Кожа необходима для пошива чехлов для подголовников кресел эконом класса</t>
  </si>
  <si>
    <t>13.93.12.00.10.20.14.50.2</t>
  </si>
  <si>
    <t>Напольный ковер</t>
  </si>
  <si>
    <t xml:space="preserve">Ковер вилтонского плетения из натуральной шерсти,  посаженный на основу из синтетических и стеклянных волокон, соответсвующей стандартам статистического электричества </t>
  </si>
  <si>
    <t>Ковровое покрытие для пассажирского салона для  новых воздушных суден Боинг 767-300ER.</t>
  </si>
  <si>
    <t>декабрь 2012</t>
  </si>
  <si>
    <t xml:space="preserve">г.Алматы , Страны Дальнего и Ближнего Зарубежья </t>
  </si>
  <si>
    <t>кв.метр</t>
  </si>
  <si>
    <t>шт</t>
  </si>
  <si>
    <t>Работы по модернизации пассажирской кислородной системы - увеличение продолжительности обеспечения кислородом  с 12 минут до 22 минут на  воздушных судах типа Boeing 757</t>
  </si>
  <si>
    <t>Работы по модификации пассажирского салона воздушного судна Boeing  767-300ER</t>
  </si>
  <si>
    <t>30.30.60.22.00.00.00</t>
  </si>
  <si>
    <t xml:space="preserve">Работы по реконструкции летательных аппаратов </t>
  </si>
  <si>
    <t>Модернизация воздушного судна</t>
  </si>
  <si>
    <t>Модификация ВС и его компонентов</t>
  </si>
  <si>
    <t>28.93.15.00.00.00.05.01.1</t>
  </si>
  <si>
    <t>Оборудование для приготовления горячих напитков или приготовления или подогрева пищи для гражданской авиации</t>
  </si>
  <si>
    <t>Оборудование для организации питания на борту ВС</t>
  </si>
  <si>
    <t>Ангар для обслуживания ВС</t>
  </si>
  <si>
    <t>Специальное помещение для стоянки, технического обслуживания и 
ремонта самолётов. Также включает дополнительные помещения</t>
  </si>
  <si>
    <t>Резервуар для хранения топлива</t>
  </si>
  <si>
    <t>26.51.66.00.00.00.00.00.0</t>
  </si>
  <si>
    <t>Приборы, инструменты и машины для измерения или контроля, не включенные в другие группировки</t>
  </si>
  <si>
    <t>Инструменты для работы по базовому ТО ВС</t>
  </si>
  <si>
    <t>Приборы и тестовое оборудование для ВС</t>
  </si>
  <si>
    <t>28.99.39.00.00.00.00.00.0</t>
  </si>
  <si>
    <t>оборудование взлетно-посадочное; устройства для взлета самолетов; устройства палубные тормозные или устройства аналогичные; оборудование для балансировки шин; машины специального назначения, не включенные в другие группировки</t>
  </si>
  <si>
    <t>Наземное оборудование</t>
  </si>
  <si>
    <t>Транспортные средства и его обслуживание</t>
  </si>
  <si>
    <t>ПО и обслуживание ПО</t>
  </si>
  <si>
    <t>62.01.11.10.00.00.00</t>
  </si>
  <si>
    <t>Услуги по проектированию и разработке программного обеспечения</t>
  </si>
  <si>
    <t>41 Т</t>
  </si>
  <si>
    <t>42 Т</t>
  </si>
  <si>
    <t>26.40.42.00.00.00.23.10.1</t>
  </si>
  <si>
    <t>Наушник проводной</t>
  </si>
  <si>
    <t>Соединены с источником проводом, обеспечивают максимальное качество звука.  Стереофонические, т.е. сигналы на каждый громкоговоритель передаются по отдельным каналам.</t>
  </si>
  <si>
    <t xml:space="preserve">Наушники шумоизоляционные для IPAD </t>
  </si>
  <si>
    <t>27.90.40.05.40.00.00.01.1</t>
  </si>
  <si>
    <t>Зарядное устройство</t>
  </si>
  <si>
    <t>Бытовое внешнее зарядное устройство</t>
  </si>
  <si>
    <t>Зарядное устройство для шумоизоляционных наушников на IPAD</t>
  </si>
  <si>
    <t>июль-август</t>
  </si>
  <si>
    <t>DDP</t>
  </si>
  <si>
    <t xml:space="preserve">100 % по факту </t>
  </si>
  <si>
    <t>Услуги по проектированию и разработке (анализу, производству и программированию) программного обеспечения по заказу.</t>
  </si>
  <si>
    <t>услуга по разработке и технической поддержке программного обеспечения «Электронная Полетная Кабина (EFB)», класс II для флотов Boeing и Embraer.</t>
  </si>
  <si>
    <t>февраль</t>
  </si>
  <si>
    <t>50% перед оказанием услуги  50% по факту оказания услуги</t>
  </si>
  <si>
    <t>68.20.11.00.00.00.02</t>
  </si>
  <si>
    <t>Услуги по аренде домов или меблированных или немеблированных квартир или комнат</t>
  </si>
  <si>
    <t>Услуги по представлению домов или меблированных или немеблированных квартир или комнат для более постоянного пользования</t>
  </si>
  <si>
    <t>Услуги аренды дома (площадью не менее 520 кв.м, не более 530 кв.м.)</t>
  </si>
  <si>
    <t>Офисное оборудование</t>
  </si>
  <si>
    <t>По факту оказания услуг</t>
  </si>
  <si>
    <t>77.35.10</t>
  </si>
  <si>
    <t>Услуги по операционному лизингу воздушного судна Boeing 757-200 (MSN28112)</t>
  </si>
  <si>
    <t>Услуги по операционному лизингу воздушного судна Boeing 757-200 (MSN29488)</t>
  </si>
  <si>
    <t>Услуги по операционному лизингу воздушного судна Boeing 757-200 (MSN29489)</t>
  </si>
  <si>
    <t>Услуги по операционному лизингу воздушного судна Boeing 757-200 (MSN28833)</t>
  </si>
  <si>
    <t>52.23.11.16.00.00.00</t>
  </si>
  <si>
    <t>Услуги аэропортов по регистрированию и приему багажа</t>
  </si>
  <si>
    <t>Услуги сканирования багажа в аэропорту города Лондон.</t>
  </si>
  <si>
    <t>февраль 2012</t>
  </si>
  <si>
    <t>г. Лондон</t>
  </si>
  <si>
    <t>январь</t>
  </si>
  <si>
    <t xml:space="preserve">Республика Казахстан, Страны Ближнего и Дальнего Зарубежья </t>
  </si>
  <si>
    <t xml:space="preserve"> По факту оказания услуг в течение 20 (двадцати) рабочих дней, с момента получения счета на оплату</t>
  </si>
  <si>
    <t xml:space="preserve">Телекоммуникационные услуги </t>
  </si>
  <si>
    <t>январь-февраль</t>
  </si>
  <si>
    <t>Астана</t>
  </si>
  <si>
    <t xml:space="preserve">Компьютерное и коммуникационное оборудование </t>
  </si>
  <si>
    <t>70.22.15.10.00.00.00</t>
  </si>
  <si>
    <t>Услуги консультационные по вопросам управления производством</t>
  </si>
  <si>
    <t>Услуги консультирования по вопросам управления в области производства и контроля за его качеством.</t>
  </si>
  <si>
    <t>Техническая поддержка при инспекции производства и поставке самолётов A320. Оказание услуг по технической поддержке во время производства ВС типа Эйрбас 320 назаводе-производителе</t>
  </si>
  <si>
    <t>Техническая поддержка при инспекции производства и поставке самолётов B767. Оказание услуг по технической поддержке во время производства ВС типа Боинг 767 назаводе-производителе</t>
  </si>
  <si>
    <t>февраль-март</t>
  </si>
  <si>
    <t>страны ближнего и дальнего зарубежья</t>
  </si>
  <si>
    <t xml:space="preserve">100% предоплата </t>
  </si>
  <si>
    <t>Услуги по предоставлению баз данных препятствий аэропортов</t>
  </si>
  <si>
    <t>63.11.11.20.30.00.00</t>
  </si>
  <si>
    <t>Услуги по обработке данных  вычислительными средствами (компьютерами)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</si>
  <si>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</si>
  <si>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 xml:space="preserve">Поквартальная предоплата </t>
  </si>
  <si>
    <t>доступ к системе регистрации пассажиров MUSE at ICN Airport</t>
  </si>
  <si>
    <t>Расходы на наземное обслуживание пассажиров</t>
  </si>
  <si>
    <t>ул. Закарпатская (Ахметова), 4А, Эйр Астана Центр 1.</t>
  </si>
  <si>
    <t xml:space="preserve">ежемесячно по факту,
в течение 10-ти банковских дней
</t>
  </si>
  <si>
    <t xml:space="preserve"> Расходы на бронирование и испол-е систем бронирования</t>
  </si>
  <si>
    <t>Расходы на бронирование и испол-е систем бронирования</t>
  </si>
  <si>
    <t>56.10.12.30.10.00.00</t>
  </si>
  <si>
    <t>Услуги по обеспечению питанием на прочем пассажирском транспорте</t>
  </si>
  <si>
    <t>Бортовое питание пассажиров</t>
  </si>
  <si>
    <t>55.10.10.10.00.00.00</t>
  </si>
  <si>
    <t>Услуги гостиниц</t>
  </si>
  <si>
    <t>65.12.32.00.00.00.01</t>
  </si>
  <si>
    <t>Услуги по страхованию самолетов</t>
  </si>
  <si>
    <t>Страхование</t>
  </si>
  <si>
    <t xml:space="preserve">Навигационное обслуживание в полете и УВД </t>
  </si>
  <si>
    <t>Переменные расходы на тех. обсл. ВС</t>
  </si>
  <si>
    <t>Топливо и масла</t>
  </si>
  <si>
    <t>Прочие расходы самолетовылетов</t>
  </si>
  <si>
    <t>82.30.11.14.00.00.00</t>
  </si>
  <si>
    <t>Услуги по организации корпоративных мероприятий</t>
  </si>
  <si>
    <t>Комплекс услуг по организации корпоративных мероприятий (проведение анимационных, физкультурно-оздоровительных, тренинговых и диагностических модулей,  семинаров-тренингов, приглашение специалистов, организация концертов, мастер-классов, круглых столов)</t>
  </si>
  <si>
    <t>Расходы на обучение</t>
  </si>
  <si>
    <t>авансовый платеж - 0, 100 % по факту</t>
  </si>
  <si>
    <t>77.39.19.10.00.00.00</t>
  </si>
  <si>
    <t>Услуги по аренде двигателей и турбин</t>
  </si>
  <si>
    <t>Страны Ближнего и Дальнего Зарубежья, Республика Казахстан</t>
  </si>
  <si>
    <t xml:space="preserve">Аренда запасных частей </t>
  </si>
  <si>
    <t>Прочие расходы на техническое обслуживание ВС</t>
  </si>
  <si>
    <t>Проживание персонала</t>
  </si>
  <si>
    <t xml:space="preserve"> Расходы на проживание и офисные расходы </t>
  </si>
  <si>
    <t>14.12.11.00.00.60.10.00.0</t>
  </si>
  <si>
    <t>Спецодежда для сферы обслуживания (униформы)</t>
  </si>
  <si>
    <t>Униформа</t>
  </si>
  <si>
    <t>Расходы по транспортным средствам</t>
  </si>
  <si>
    <t xml:space="preserve"> Расходы по наземному обслуживанию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</si>
  <si>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</si>
  <si>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</si>
  <si>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</si>
  <si>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 xml:space="preserve"> Расходы на связь</t>
  </si>
  <si>
    <t>73.11.19.12.00.00.00</t>
  </si>
  <si>
    <t>Услуги в области рекламы прочие</t>
  </si>
  <si>
    <t>Реклама</t>
  </si>
  <si>
    <t>73.11.11.16.00.00.00</t>
  </si>
  <si>
    <t>Услуги по проведению маркетинговых компаний и других рекламных услуг с целью привлечения и удержания клиентов</t>
  </si>
  <si>
    <t xml:space="preserve">Маркетинговые расходы </t>
  </si>
  <si>
    <t xml:space="preserve"> Консультанты и профессиональные услуги </t>
  </si>
  <si>
    <t xml:space="preserve">Расходы на компьютеры и покупка программного обеспечения </t>
  </si>
  <si>
    <t>Усенбаева Динара, аналитик по закупкам, dinara.ussenbayeva@airastana.com; 7(727)258-41-36 (вн. 4063)</t>
  </si>
  <si>
    <t>33.11.14.20.15.00.00</t>
  </si>
  <si>
    <t>Техническое сопровождение и обслуживание тренажеров и полигонного оборудования</t>
  </si>
  <si>
    <t>Техподдержка и обслуживание виртуально-процедурных тренажеров Аеробус, Боинг, Эмбраер</t>
  </si>
  <si>
    <t>60-1 У</t>
  </si>
  <si>
    <t>ежеквартально по факту оказания услуг</t>
  </si>
  <si>
    <t>33-2 У</t>
  </si>
  <si>
    <t>Услуги по грузообслуживанию воздушных судов в г. Лондон</t>
  </si>
  <si>
    <t>г.Лондон, Великобритания</t>
  </si>
  <si>
    <t>56-25 У</t>
  </si>
  <si>
    <t>Услуги проживания экипажа и сотрудников в одноместных и двуместных номерах гостиниц, Киев</t>
  </si>
  <si>
    <t>Март</t>
  </si>
  <si>
    <t>г. Киев</t>
  </si>
  <si>
    <t>33-3 У</t>
  </si>
  <si>
    <t xml:space="preserve"> 52.23.11.19.09.10.00</t>
  </si>
  <si>
    <t>Услуги по обслуживанию пассажиров в аэропорту</t>
  </si>
  <si>
    <t>Аэропортовые сборы за обслуживание пассажиров в г. Баку</t>
  </si>
  <si>
    <t>г. Баку Азербайджан</t>
  </si>
  <si>
    <t>56-26 У</t>
  </si>
  <si>
    <t>56-27 У</t>
  </si>
  <si>
    <t>Услуги проживания экипажа и сотрудников в одноместных и двуместных номерах гостиниц, Екатеринбург</t>
  </si>
  <si>
    <t>Услуги проживания экипажа и сотрудников в одноместных и двуместных номерах гостиниц, Абу-Даби</t>
  </si>
  <si>
    <t>Июль</t>
  </si>
  <si>
    <t>г. Екатеренбург</t>
  </si>
  <si>
    <t>г. Абу- Даби</t>
  </si>
  <si>
    <t>87 У</t>
  </si>
  <si>
    <t>52.10.19.20.13.00.00</t>
  </si>
  <si>
    <t xml:space="preserve">Транспортно-логистические услуги 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</si>
  <si>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</si>
  <si>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Страны СНГ, Ближний и альнее зарубежье</t>
  </si>
  <si>
    <t>82-1 У</t>
  </si>
  <si>
    <t>82-2 У</t>
  </si>
  <si>
    <t>78.10.11.11.00.00.00</t>
  </si>
  <si>
    <t>Услуги по поиску вспомогательного офисного персонала и других категорий работников</t>
  </si>
  <si>
    <t>Поиск вспомогательного офисного персонала и других категорий работников для последующего найма</t>
  </si>
  <si>
    <t>Услуги рекрутингового агентства по поиску кандидата на позицию «Менеджер инженерно-технического обеспечения»</t>
  </si>
  <si>
    <t>Услуги рекрутингового агентства по поиску кандидата на позицию «Консультант по интерьеру самолета»</t>
  </si>
  <si>
    <t>июль- агуст  2013г</t>
  </si>
  <si>
    <t>июль-агуст 2013г</t>
  </si>
  <si>
    <t>67-4 У</t>
  </si>
  <si>
    <t>35.12.10.10.00.00.00</t>
  </si>
  <si>
    <t xml:space="preserve">Услуги по передаче электрической энергии по национальной электрической сети </t>
  </si>
  <si>
    <t xml:space="preserve">Оказание услуг по передаче электрической энергии по национальной электрической сети системным оператором </t>
  </si>
  <si>
    <t>Услуги электроснабжения помещений в аэропорту города Кызылорда на 2013 год (Дневная ставка)</t>
  </si>
  <si>
    <t>г. Кызылорда</t>
  </si>
  <si>
    <t>88 У</t>
  </si>
  <si>
    <t>77.33.12.14.00.00.00</t>
  </si>
  <si>
    <t>Услуги по аренде магнитных или оптических считывающих устройств</t>
  </si>
  <si>
    <t>Краткосрочная, среднесрочная или долгосрочная аренда (прокат) магнитных или оптических считывающих устройств</t>
  </si>
  <si>
    <t>Услуга использования считывателей паспортов</t>
  </si>
  <si>
    <t>Июль 2013</t>
  </si>
  <si>
    <t>г. Урумчи</t>
  </si>
  <si>
    <t>89 У</t>
  </si>
  <si>
    <t>62.02.20.20.00.00.00</t>
  </si>
  <si>
    <t>Услуги консультационные по интеграции технического обеспечения</t>
  </si>
  <si>
    <t>Консультации по проведению технической экспертизы по интеграции (совмещению) программного обеспечения с техническим обеспечением.</t>
  </si>
  <si>
    <t>Услуги по интеграции контента для системы RAVE на Б767.</t>
  </si>
  <si>
    <t>Тунликбаева Айзада; специалист по связям с государственными органами; aizada.tunlikbayeva@airastana.com; 7(727)258-41-36 (вн. 4527)</t>
  </si>
  <si>
    <t>Президент   АО "Эйр Астана"                                                П. Фостер</t>
  </si>
  <si>
    <t>Итого по услугам:</t>
  </si>
  <si>
    <t>Итого:</t>
  </si>
  <si>
    <t>Лизинг ВС и двигателей</t>
  </si>
  <si>
    <t>Гостининичные услуги</t>
  </si>
  <si>
    <t xml:space="preserve">Консультанты и профессиональные услуги </t>
  </si>
  <si>
    <r>
      <t xml:space="preserve">Приобретение оборотных запасных частей, приборов и оборудования для обслуживания воздушных судов типа Boeing </t>
    </r>
    <r>
      <rPr>
        <sz val="10"/>
        <rFont val="Times New Roman"/>
        <family val="1"/>
      </rPr>
      <t>757-200</t>
    </r>
  </si>
  <si>
    <t>Линейное обслуживание воздушных судов типа Boeing 757-200/ Boeing 767-300; Airbus A320/321; Embraer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</si>
  <si>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</si>
  <si>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</si>
  <si>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</si>
  <si>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</si>
  <si>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</si>
  <si>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</si>
  <si>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</si>
  <si>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</si>
  <si>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</si>
  <si>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</si>
  <si>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</si>
  <si>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</si>
  <si>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</si>
  <si>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</si>
  <si>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</si>
  <si>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</si>
  <si>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</si>
  <si>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</si>
  <si>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</si>
  <si>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</si>
  <si>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</si>
  <si>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</si>
  <si>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</si>
  <si>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</si>
  <si>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</si>
  <si>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</si>
  <si>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</si>
  <si>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</si>
  <si>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</si>
  <si>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</si>
  <si>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</si>
  <si>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</si>
  <si>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</si>
  <si>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</si>
  <si>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</si>
  <si>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</si>
  <si>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</si>
  <si>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</si>
  <si>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</si>
  <si>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</si>
  <si>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</si>
  <si>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</si>
  <si>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</si>
  <si>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</si>
  <si>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</si>
  <si>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</si>
  <si>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</si>
  <si>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</si>
  <si>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</si>
  <si>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</si>
  <si>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</si>
  <si>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</si>
  <si>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</si>
  <si>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</si>
  <si>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</si>
  <si>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</si>
  <si>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</si>
  <si>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</si>
  <si>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</si>
  <si>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</si>
  <si>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</si>
  <si>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</si>
  <si>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</si>
  <si>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</si>
  <si>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</si>
  <si>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</si>
  <si>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</si>
  <si>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</si>
  <si>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</si>
  <si>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</si>
  <si>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</si>
  <si>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</si>
  <si>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</si>
  <si>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</si>
  <si>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</si>
  <si>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</si>
  <si>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</si>
  <si>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</si>
  <si>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</si>
  <si>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</si>
  <si>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</si>
  <si>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</si>
  <si>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</si>
  <si>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</si>
  <si>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</si>
  <si>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</si>
  <si>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</si>
  <si>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</si>
  <si>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</si>
  <si>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</si>
  <si>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</si>
  <si>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</si>
  <si>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</si>
  <si>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</si>
  <si>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</si>
  <si>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</si>
  <si>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</si>
  <si>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</si>
  <si>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</si>
  <si>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</si>
  <si>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</si>
  <si>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</si>
  <si>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</si>
  <si>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</si>
  <si>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</si>
  <si>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</si>
  <si>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</si>
  <si>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</si>
  <si>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</si>
  <si>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</si>
  <si>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</si>
  <si>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</si>
  <si>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</si>
  <si>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</si>
  <si>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</si>
  <si>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</si>
  <si>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</si>
  <si>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</si>
  <si>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</si>
  <si>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</si>
  <si>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</si>
  <si>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</si>
  <si>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</si>
  <si>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</si>
  <si>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</si>
  <si>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</si>
  <si>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</si>
  <si>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</si>
  <si>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</si>
  <si>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</si>
  <si>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65-3 У</t>
  </si>
  <si>
    <t>67-2 У</t>
  </si>
  <si>
    <t>67-3 У</t>
  </si>
  <si>
    <t>уменьшена на 67-2 У, 67-3 У</t>
  </si>
  <si>
    <t>77.33.11.20.15.00.00</t>
  </si>
  <si>
    <t>Услуги по аренде прочей техники и оборудования офисного</t>
  </si>
  <si>
    <t>Краткосрочная, среднесрочная или долгосрочная аренда (прокат) прочей техники и оборудования офисного, не включенной в другие группировки</t>
  </si>
  <si>
    <t>аренда мебели</t>
  </si>
  <si>
    <t>ежемесячно по факту,
в течение 5-ти рабочих дней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</si>
  <si>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</si>
  <si>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</rPr>
      <t>Пример: для товаров - Акмолинская область, г. Степногорск,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</si>
  <si>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2"/>
        <rFont val="Times New Roman"/>
        <family val="1"/>
      </rPr>
      <t>Пример: DDP</t>
    </r>
    <r>
      <rPr>
        <sz val="12"/>
        <rFont val="Times New Roman"/>
        <family val="1"/>
      </rPr>
      <t xml:space="preserve">    </t>
    </r>
  </si>
  <si>
    <r>
      <t xml:space="preserve">Условия оплаты. </t>
    </r>
    <r>
      <rPr>
        <b/>
        <sz val="12"/>
        <rFont val="Times New Roman"/>
        <family val="1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</si>
  <si>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Единица измерения. Наименование единиц измерения товаров указывается согласно коду ЕНС ТРУ. </t>
    </r>
    <r>
      <rPr>
        <u val="single"/>
        <sz val="12"/>
        <rFont val="Times New Roman"/>
        <family val="1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</si>
  <si>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</t>
    </r>
    <r>
      <rPr>
        <sz val="12"/>
        <color indexed="10"/>
        <rFont val="Times New Roman"/>
        <family val="1"/>
      </rPr>
      <t xml:space="preserve">По работам и услугам заполняется по суммам, выделенным для каждого года </t>
    </r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</si>
  <si>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</si>
  <si>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</si>
  <si>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</t>
    </r>
    <r>
      <rPr>
        <b/>
        <sz val="12"/>
        <rFont val="Times New Roman"/>
        <family val="1"/>
      </rPr>
      <t>ОТП</t>
    </r>
    <r>
      <rPr>
        <sz val="12"/>
        <rFont val="Times New Roman"/>
        <family val="1"/>
      </rPr>
      <t xml:space="preserve">, для организаций инвалидов - </t>
    </r>
    <r>
      <rPr>
        <b/>
        <sz val="12"/>
        <rFont val="Times New Roman"/>
        <family val="1"/>
      </rPr>
      <t>ОИН</t>
    </r>
    <r>
      <rPr>
        <sz val="12"/>
        <rFont val="Times New Roman"/>
        <family val="1"/>
      </rPr>
      <t xml:space="preserve">, для отечественных предпринимателей - </t>
    </r>
    <r>
      <rPr>
        <b/>
        <sz val="12"/>
        <rFont val="Times New Roman"/>
        <family val="1"/>
      </rPr>
      <t>ОП, д</t>
    </r>
    <r>
      <rPr>
        <sz val="12"/>
        <rFont val="Times New Roman"/>
        <family val="1"/>
      </rPr>
      <t>ля предприятий региона</t>
    </r>
    <r>
      <rPr>
        <b/>
        <sz val="12"/>
        <rFont val="Times New Roman"/>
        <family val="1"/>
      </rPr>
      <t xml:space="preserve"> - ПР, д</t>
    </r>
    <r>
      <rPr>
        <sz val="12"/>
        <rFont val="Times New Roman"/>
        <family val="1"/>
      </rPr>
      <t>ля отечественных товаропроизводителей Холдинга</t>
    </r>
    <r>
      <rPr>
        <b/>
        <sz val="12"/>
        <rFont val="Times New Roman"/>
        <family val="1"/>
      </rPr>
      <t xml:space="preserve"> - ОТПХ, </t>
    </r>
    <r>
      <rPr>
        <sz val="12"/>
        <rFont val="Times New Roman"/>
        <family val="1"/>
      </rPr>
      <t>для организаций, входящих в Холдинг</t>
    </r>
    <r>
      <rPr>
        <b/>
        <sz val="12"/>
        <rFont val="Times New Roman"/>
        <family val="1"/>
      </rPr>
      <t xml:space="preserve"> - ОВХ, </t>
    </r>
    <r>
      <rPr>
        <sz val="12"/>
        <rFont val="Times New Roman"/>
        <family val="1"/>
      </rPr>
      <t>для отечественных поставщиков работ, услуг</t>
    </r>
    <r>
      <rPr>
        <b/>
        <sz val="12"/>
        <rFont val="Times New Roman"/>
        <family val="1"/>
      </rPr>
      <t xml:space="preserve"> - ОПРУ</t>
    </r>
  </si>
  <si>
    <r>
      <t xml:space="preserve">Год закупки/год корректировки. Указывается фактический год проведения закупки. </t>
    </r>
    <r>
      <rPr>
        <b/>
        <sz val="12"/>
        <rFont val="Times New Roman"/>
        <family val="1"/>
      </rPr>
      <t>Пример - 2012.</t>
    </r>
    <r>
      <rPr>
        <sz val="12"/>
        <rFont val="Times New Roman"/>
        <family val="1"/>
      </rPr>
      <t xml:space="preserve"> После проведения соответствующих корректировок  дополнительно указывается год проведения корректировки. </t>
    </r>
    <r>
      <rPr>
        <b/>
        <sz val="12"/>
        <rFont val="Times New Roman"/>
        <family val="1"/>
      </rPr>
      <t>Пример 2012/2013, 2012/2015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</si>
  <si>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</rPr>
      <t>Пример - 18.</t>
    </r>
  </si>
  <si>
    <t>30.30.60.13.00.00.00</t>
  </si>
  <si>
    <t xml:space="preserve">Работы по текущему ремонту летательных аппаратов </t>
  </si>
  <si>
    <t>Трудоемкое текущее обслуживание воздуного судна (C-check, замена шасси, замена двигателя, фюзеляжные работы и др.)</t>
  </si>
  <si>
    <t>30.30.60.19.00.00.00</t>
  </si>
  <si>
    <t xml:space="preserve">Работы по текущему ремонту двигателей летательных аппаратов </t>
  </si>
  <si>
    <t>30.30.60.12.00.00.00</t>
  </si>
  <si>
    <t>Ремонт вспомогательных силовых установок</t>
  </si>
  <si>
    <t>30.30.60.10.00.00.00</t>
  </si>
  <si>
    <t>Ремонт шасси</t>
  </si>
  <si>
    <t>96.09.19.90.17.00.00</t>
  </si>
  <si>
    <t>Услуги по технической инспекции воздушного судна</t>
  </si>
  <si>
    <t>Проведение технической инспекции воздушного судна, включая различные сборы, а также техническую поддержку, инженерную экспертизу и консультационные услуги, предоставляемыми внешними агентами</t>
  </si>
  <si>
    <t>52.23.11.22.00.00.00</t>
  </si>
  <si>
    <t>Услуги, связанные с обслуживанием воздушных судов, прочие</t>
  </si>
  <si>
    <t>96.09.19.90.11.00.00</t>
  </si>
  <si>
    <t>Услуги по очистке салона воздушного судна</t>
  </si>
  <si>
    <t>Чистка салона воздушного судна</t>
  </si>
  <si>
    <t>Услуги по наземному обслуживанию воздушных судов г. Стамбул</t>
  </si>
  <si>
    <t>Услуги по грузообслуживанию воздушных судов г. Стамбул</t>
  </si>
  <si>
    <t>Услуги по наземному обслуживанию воздушных судов г. Пекин</t>
  </si>
  <si>
    <t>Услуги по грузообслуживанию воздушных судов г. Пекин</t>
  </si>
  <si>
    <t>Услуги обслуживания пассажиров бизнес-класса в бизнес-зале аэропорта города Стамбул</t>
  </si>
  <si>
    <t>Услуги по наземному обслуживанию воздушных судовг. Анталия</t>
  </si>
  <si>
    <t>Услуги по грузообслуживанию воздушных судов г. Анталия</t>
  </si>
  <si>
    <t>Услуги обслуживания пассажиров бизн ес-класса в бизнес-зале аэропорта города Сеул</t>
  </si>
  <si>
    <t>Услуги по наземному обслуживанию воздушных судов</t>
  </si>
  <si>
    <t>Услуги по грузообслуживанию воздушных судов</t>
  </si>
  <si>
    <t>Услуги обеспечения контроля обслуживания рейса</t>
  </si>
  <si>
    <t>Услуги обслуживания пассажиров бизн ес-класса в бизнес-зале аэропорта города Хошимин</t>
  </si>
  <si>
    <t>Услуги обслуживания пассажиров бизнес-класса в бизнес-зале аэропорта города Киев</t>
  </si>
  <si>
    <t>55 У</t>
  </si>
  <si>
    <t>56 У</t>
  </si>
  <si>
    <t>57 У</t>
  </si>
  <si>
    <t>58 У</t>
  </si>
  <si>
    <t>59 У</t>
  </si>
  <si>
    <t>60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</si>
  <si>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</si>
  <si>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</si>
  <si>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</si>
  <si>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</si>
  <si>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</si>
  <si>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</si>
  <si>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</si>
  <si>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</si>
  <si>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</si>
  <si>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</si>
  <si>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 xml:space="preserve">июнь-август </t>
  </si>
  <si>
    <t>Форма плана долгосрочных закупок товаров, работ и услуг на 2013 - 2017 годы по АО "Эйр Астана"</t>
  </si>
  <si>
    <t>67-1 У</t>
  </si>
  <si>
    <t>68.20.12.00.00.00.01</t>
  </si>
  <si>
    <t>Услуги по аренде офисных помещений</t>
  </si>
  <si>
    <t>аренда офиса, складских помещений, включая коммунальные услуги</t>
  </si>
  <si>
    <t>март</t>
  </si>
  <si>
    <t xml:space="preserve">ежемесячно по факту,
в течение 10-ти рабочих дней
</t>
  </si>
  <si>
    <t>Изменения и дополнения размещены.</t>
  </si>
  <si>
    <t>Реквизиты   (№ приказа и дата утверждения плана закупок) _№71 от 26 февраля 2013 г_____</t>
  </si>
  <si>
    <t>18 Р</t>
  </si>
  <si>
    <t>Модернизация 5 ВС Боинг-757</t>
  </si>
  <si>
    <t>апрель-май 2013</t>
  </si>
  <si>
    <t>40 % предоплата, 60% в течении 30 дней после поставки</t>
  </si>
  <si>
    <t>30.30.50.00.00.00.42.10.1</t>
  </si>
  <si>
    <t xml:space="preserve">Система документов в электронном формате </t>
  </si>
  <si>
    <t xml:space="preserve">Система документов в электронном формате, для воздушного судна
</t>
  </si>
  <si>
    <t xml:space="preserve"> Оборудование электронной системы «Электронная Полетная Кабина (EFB)», Class II на воздушное судно типа Boeing 757</t>
  </si>
  <si>
    <t>34 Т</t>
  </si>
  <si>
    <t>35 Т</t>
  </si>
  <si>
    <t>март-апрель</t>
  </si>
  <si>
    <t>Алматы, Казахстан</t>
  </si>
  <si>
    <t>72 У</t>
  </si>
  <si>
    <t>70.22.30.10.00.00.00</t>
  </si>
  <si>
    <t>Услуги консультационные по вопросам предпринимательства</t>
  </si>
  <si>
    <t>Услуги консультационные по вопросам предпринимательства, с оказанием управленческой и организационной поддержки</t>
  </si>
  <si>
    <t>Услуги поддержки в предоставления отчета по мониторингу по схеме торговли квотами на выброс (ETS)</t>
  </si>
  <si>
    <t xml:space="preserve">Услуги операционного лизинга воздушного судна А320-200 </t>
  </si>
  <si>
    <t>1-2 У</t>
  </si>
  <si>
    <t>г Алматы</t>
  </si>
  <si>
    <t>ежемесячные авансовые платежи</t>
  </si>
  <si>
    <t>Услуги по наземному обслуживанию воздушных судов в г. Киев</t>
  </si>
  <si>
    <t>Услуги по уборке салона воздушных судов в г. Киев</t>
  </si>
  <si>
    <t>Услуги по грузообслуживанию воздушных судов в г. Киев</t>
  </si>
  <si>
    <t>Услуги представителей для обеспечения контроля обслуживания рейса в г. Киев</t>
  </si>
  <si>
    <t>январь- апрель 2013</t>
  </si>
  <si>
    <t>С момента заключения договора до 31.12.2015г. включительно</t>
  </si>
  <si>
    <t>73 У</t>
  </si>
  <si>
    <t>г.Киев</t>
  </si>
  <si>
    <t xml:space="preserve">66.19.92.00.00.00.01
</t>
  </si>
  <si>
    <t xml:space="preserve">Услуги, связанные с заключением финансовых сделок и выполнением функций расчетной палаты </t>
  </si>
  <si>
    <t>Услуги по организации финансирования приобретения воздушного судна Эйрбас 320 в количестве 1 единицы</t>
  </si>
  <si>
    <t>Оплата процентного вознаграждения на ежеквартальной/ежемесячной основе в течение срока финансирования</t>
  </si>
  <si>
    <t>74 У</t>
  </si>
  <si>
    <t>75 У</t>
  </si>
  <si>
    <t>Для разработки и внедрения  системы грузоперевозок</t>
  </si>
  <si>
    <t>г. Алматы, ул.Закарпатская 4А</t>
  </si>
  <si>
    <t>33-1 У</t>
  </si>
  <si>
    <t>Услуги по наземному обслуживанию ВС в международном аэропорту г. Оренбург на 2013-2015 гг.</t>
  </si>
  <si>
    <t>апрель</t>
  </si>
  <si>
    <t>76 У</t>
  </si>
  <si>
    <t>услуга по разработке и технической поддержке программного обеспечения «Электронная Полетная Кабина (EFB)», класс II для флотов Airbus.</t>
  </si>
  <si>
    <t>100 % перед оказанием услуги</t>
  </si>
  <si>
    <t>56-1 У</t>
  </si>
  <si>
    <t>строка исключена</t>
  </si>
  <si>
    <t>31-1 У</t>
  </si>
  <si>
    <t>Противообледенительное обслуживание</t>
  </si>
  <si>
    <t>г.Усть- Каменогорск</t>
  </si>
  <si>
    <t>Услуги хранения жидкости в аэропорту г.Усть-Каменогорск</t>
  </si>
  <si>
    <t>77 У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</si>
  <si>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</si>
  <si>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</si>
  <si>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</si>
  <si>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подписке на веб-сайт по адресу www.partsbase.com</t>
  </si>
  <si>
    <t>72-1 У</t>
  </si>
  <si>
    <t xml:space="preserve">Услуги по организации финансирования приобретения воздушного судна Эйрбас 320 </t>
  </si>
  <si>
    <t>78 У</t>
  </si>
  <si>
    <t>33.12.12.22.00.00.00</t>
  </si>
  <si>
    <t>Техническое обслуживание компрессоров</t>
  </si>
  <si>
    <t xml:space="preserve">Техническое обслуживание компрессоров </t>
  </si>
  <si>
    <t>Техническое обслуживание азотной станции</t>
  </si>
  <si>
    <t>ЦП</t>
  </si>
  <si>
    <t>36 Т</t>
  </si>
  <si>
    <t>37 Т</t>
  </si>
  <si>
    <t>38 Т</t>
  </si>
  <si>
    <t>Система CPDLC для ВС. Средство связи в целях управления воздушным движением 
между диспетчером и пилотом с использованием линии передачи данных</t>
  </si>
  <si>
    <t>FCA</t>
  </si>
  <si>
    <t>50% предоплата, 50% по факту поставки</t>
  </si>
  <si>
    <t>79 У</t>
  </si>
  <si>
    <t>80 У</t>
  </si>
  <si>
    <t>81 У</t>
  </si>
  <si>
    <t>Услуги по наземному обслуживанию воздушных судов и пассажиров</t>
  </si>
  <si>
    <t>Услуги по наземному обслуживанию воздушных судов и пассажиров в г. Ганновер</t>
  </si>
  <si>
    <t>52.24.19.90.00.00.00</t>
  </si>
  <si>
    <t>Услуги по обработке грузов прочие, не включенные в другие группировки</t>
  </si>
  <si>
    <t>Услуги по грузообслуживанию воздушных судов в г. Ганновер</t>
  </si>
  <si>
    <t>г. Дели, Индия</t>
  </si>
  <si>
    <t>г. Ганновер Германия</t>
  </si>
  <si>
    <t>100% оплата по факту оказания услуг</t>
  </si>
  <si>
    <t>58-1 У</t>
  </si>
  <si>
    <t>Услуги по управлению воздушным движением в г. Урумчи</t>
  </si>
  <si>
    <t>100% по факту оказания услуг</t>
  </si>
  <si>
    <t>52.23.12.40.00.00.00</t>
  </si>
  <si>
    <t>Услуги в сфере навигационной деятельности</t>
  </si>
  <si>
    <t>Услуги по предоставлению и актуализации навигационных карт</t>
  </si>
  <si>
    <t>Услуги по предоставлению навигационных карт</t>
  </si>
  <si>
    <t>59-1 У</t>
  </si>
  <si>
    <t>сумма уменьшена на 59-1 У</t>
  </si>
  <si>
    <t>18-1 Р</t>
  </si>
  <si>
    <t>Работы по модификации интерьера В757-200</t>
  </si>
  <si>
    <t>сумма уменьшена на 18-1 Р</t>
  </si>
  <si>
    <t>65-1 У</t>
  </si>
  <si>
    <t>30.30.50.00.00.00.39.50.1</t>
  </si>
  <si>
    <t>Система маркировки пассажирского салона воздушного судна</t>
  </si>
  <si>
    <t xml:space="preserve">на случай аварийной эвакуации </t>
  </si>
  <si>
    <t>Система маркировки пассажирского салона на случай аварийной эвакуации на борту воздушных судов Боинг 767</t>
  </si>
  <si>
    <t>40 Т</t>
  </si>
  <si>
    <t>43.21.10.16.00.10.00</t>
  </si>
  <si>
    <t>70-1 У</t>
  </si>
  <si>
    <t>74.90.21.15.00.00.00</t>
  </si>
  <si>
    <t>Услуги информационного мониторинга</t>
  </si>
  <si>
    <t>Услуги информационного иониторинга</t>
  </si>
  <si>
    <t>Исследование и мониторинг в Интернете</t>
  </si>
  <si>
    <t>58-2 У</t>
  </si>
  <si>
    <t xml:space="preserve">52.23.12.30.00.00.00
</t>
  </si>
  <si>
    <t xml:space="preserve">Услуги аэронавигационного обслуживания
</t>
  </si>
  <si>
    <t xml:space="preserve">услуги аэронавигации в зоне аэродрома; услуги аэронавигации верхнего воздушного пространства 
</t>
  </si>
  <si>
    <t>Аэронавигационное обслуживание воздушных судов на 2013-2014 года в городе Бишкек</t>
  </si>
  <si>
    <t>г.Бишкек</t>
  </si>
  <si>
    <t>33-7 У</t>
  </si>
  <si>
    <t>52.23.11.22.10.10.10</t>
  </si>
  <si>
    <t>Услуги по обработке противообледенительной жидкостью воздушных судов</t>
  </si>
  <si>
    <t>Услуги по удалению обледенения /противооблединительной  обработке (защите) и очистке от снега/льда г. Пекин</t>
  </si>
  <si>
    <t>г.Пекин, Китай</t>
  </si>
  <si>
    <t xml:space="preserve">январь-апрель </t>
  </si>
  <si>
    <t>60-3 У</t>
  </si>
  <si>
    <t xml:space="preserve">г. Франкфурт-на-Майне. </t>
  </si>
  <si>
    <t>33-8 У</t>
  </si>
  <si>
    <t>52.23.11.19.00.00.00</t>
  </si>
  <si>
    <t>Услуги аэропортов, кроме обработки грузов, прочие</t>
  </si>
  <si>
    <t>Услуги обслуживания пассажиров бизнес-класса в бизнес-зале аэропорта г. Москва на 2013 г</t>
  </si>
  <si>
    <t xml:space="preserve">август-октябрь </t>
  </si>
  <si>
    <t>г. Москва, Россия</t>
  </si>
  <si>
    <t>96 У</t>
  </si>
  <si>
    <t>97 У</t>
  </si>
  <si>
    <t>96.09.19.90.13.10.00</t>
  </si>
  <si>
    <t>Услуги лизинга компонентов и запасных частей для воздушных судов семейства Эйрбас А320, типов Boeing 767 и Boeing 757.</t>
  </si>
  <si>
    <t>Услуги лизинга запасных частей для воздушного судна</t>
  </si>
  <si>
    <t>Лизинг компонентов и запасных частей для воздушных судов семейства Airbus A320 и типа Boeing 767 и Boeing 757</t>
  </si>
  <si>
    <t>96.09.19.90.12.00.00</t>
  </si>
  <si>
    <t>Услуги по предоставлению Доступа к фонду запасных частей для воздушных судов семейства Эйрбас А320 и типа Boeing 767, Boeing 757.</t>
  </si>
  <si>
    <t>Услуги доступа к общему фонду запасных частей для воздушного судна</t>
  </si>
  <si>
    <t xml:space="preserve"> Доступ к фонду запасных частей для воздушных судов семейства Airbus A320 и типа Boeing 767 и Boeing 757</t>
  </si>
  <si>
    <t>октябрь 2013г.</t>
  </si>
  <si>
    <t>33-9 У</t>
  </si>
  <si>
    <t>Услуги по аэропортовому обслуживанию воздушных судов и пассажиров</t>
  </si>
  <si>
    <t>г. Киев Украина</t>
  </si>
  <si>
    <t xml:space="preserve">октябрь </t>
  </si>
  <si>
    <t>33-10 У</t>
  </si>
  <si>
    <t>52.24.13.11.00.00.00</t>
  </si>
  <si>
    <t>Услуги по обработке грузов прочие в портах, по выгрузке (выкачке, сливу) грузов</t>
  </si>
  <si>
    <t>услуги по грузообслуживанию воздушных судов в г.Куала-Лумпур, Малайзия</t>
  </si>
  <si>
    <t xml:space="preserve"> г.Куала-Лумпур, Малайзия</t>
  </si>
  <si>
    <t>98 У</t>
  </si>
  <si>
    <t>99 У</t>
  </si>
  <si>
    <t>84.24.19.10.00.00.00</t>
  </si>
  <si>
    <t>Услуги прочие, связанные с охраной общественного порядка и вопросами безопасности</t>
  </si>
  <si>
    <t>прочие услуга, связанные с охраной общественного порядка и вопросами безопасности, не включенные в другие группировки</t>
  </si>
  <si>
    <t>Услуги по обеспечению паспортного контроля убывающих пассажиров в г.Алматы</t>
  </si>
  <si>
    <t>Услуги по обеспечению паспортного контроля убывающих пассажиров в г.Астана</t>
  </si>
  <si>
    <t>60-4 У</t>
  </si>
  <si>
    <t>82.30.11.13.00.00.00</t>
  </si>
  <si>
    <t>Услуги по организации форума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</si>
  <si>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</si>
  <si>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 xml:space="preserve">Услуги по предоставлению обучения  курсу EASA Part 66 Cat B1.1 </t>
  </si>
  <si>
    <t>октябрь</t>
  </si>
  <si>
    <t>г. Мюнхен, Германия</t>
  </si>
  <si>
    <t>строка уменьшена на 60-1 У, 60- 3У, 60-4 У</t>
  </si>
  <si>
    <t>33-11 У</t>
  </si>
  <si>
    <t>услуги по наземному обслуживанию ВС в г.Москва, Россия</t>
  </si>
  <si>
    <t>октябрь-декабрь</t>
  </si>
  <si>
    <t>71-3 У</t>
  </si>
  <si>
    <t>66.19.91.00.00.00.01</t>
  </si>
  <si>
    <t>Услуги по финансовым консультациям</t>
  </si>
  <si>
    <t xml:space="preserve">Услуги по предоставлению финансовых консультационных услуг в Турции </t>
  </si>
  <si>
    <t>октябрь-ноябрь</t>
  </si>
  <si>
    <t>г. Стамбул, Турция</t>
  </si>
  <si>
    <t>65-16 У</t>
  </si>
  <si>
    <t>65-17 У</t>
  </si>
  <si>
    <t>Услуги регистрации пассажиров</t>
  </si>
  <si>
    <t>Услуги отправки телеграммы по окончанию регистрации пассажиров в локальной сети</t>
  </si>
  <si>
    <t>Ноябрь 2013 год</t>
  </si>
  <si>
    <t>г. Казань</t>
  </si>
  <si>
    <t>65 Т</t>
  </si>
  <si>
    <t xml:space="preserve">  Система электрического снабжения для сидений саамолета типа Boeing 757-200, включая разработку дизайна, тестирование и сертификацию</t>
  </si>
  <si>
    <t>Лондон, Великобритания</t>
  </si>
  <si>
    <t>100 % пост оплата</t>
  </si>
  <si>
    <t>100 У</t>
  </si>
  <si>
    <t>Аренда помещений в г. Астана</t>
  </si>
  <si>
    <t>ноябрь 2013г.</t>
  </si>
  <si>
    <t>8-2 Р</t>
  </si>
  <si>
    <t>уменьшена на 8-2 Р</t>
  </si>
  <si>
    <t>ноябрь 2013</t>
  </si>
  <si>
    <t>71-4 У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</si>
  <si>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</si>
  <si>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</si>
  <si>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</si>
  <si>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Внешние аудиторские услуги</t>
  </si>
  <si>
    <t>ноябрь-декабрь 2013</t>
  </si>
  <si>
    <t>г.Алматы, Казахстан</t>
  </si>
  <si>
    <t>Оплата двумя взносами 30% - 70%</t>
  </si>
  <si>
    <t>38-3 Т</t>
  </si>
  <si>
    <t>38-4 Т</t>
  </si>
  <si>
    <t>дополнительное оборудование и программное обеспечение для установки системы  активации функции "Связь диспетчер – пилот" по линии передачи данных  на  воздушном судне типа Boeing 757</t>
  </si>
  <si>
    <t>дополнительное оборудование и программное обеспечение для установки системы  активации функции "Связь диспетчер – пилот" по линии передачи данных  на  воздушном судне типа Airbus 320</t>
  </si>
  <si>
    <t>строка уменьшена на 67-4 У, 67-5 У,95 У, 67- 6-10 У, 51-1 У ГПЗ , 108 У</t>
  </si>
  <si>
    <t>Услуги по читске топливных пятен на перроне на 2013-2014 гг.</t>
  </si>
  <si>
    <t>101 У</t>
  </si>
  <si>
    <t>г. Пекин</t>
  </si>
  <si>
    <t>33-12 У</t>
  </si>
  <si>
    <t>услуги по наземному обслуживанию ВС в г.Баку</t>
  </si>
  <si>
    <t>г.Баку, Азербайджан</t>
  </si>
  <si>
    <t>строка уменьшена на 71-2 У</t>
  </si>
  <si>
    <t>102 У</t>
  </si>
  <si>
    <t>Услуги по обработке грузов в г.Актобе</t>
  </si>
  <si>
    <t>ноябрь-декабрь 2013 г</t>
  </si>
  <si>
    <t>г.Актобе</t>
  </si>
  <si>
    <t>103 У</t>
  </si>
  <si>
    <t>56.10.12.20.10.00.00</t>
  </si>
  <si>
    <t>Услуги по обеспечению питанием в ресторанах и кафе на борту судов</t>
  </si>
  <si>
    <t>Услуги по обеспечению питанием пассажиров бизнес зала</t>
  </si>
  <si>
    <t>г.Астана</t>
  </si>
  <si>
    <t>33-13 У</t>
  </si>
  <si>
    <t>52.23.11.19.10.00.00</t>
  </si>
  <si>
    <t>Услуги по обслуживанию пассажиров в терминале аэропорта</t>
  </si>
  <si>
    <t>Обслуживание пассажиров в г.Актобе</t>
  </si>
  <si>
    <t>г. Актобе</t>
  </si>
  <si>
    <t>65-1 Т</t>
  </si>
  <si>
    <t>сумма уменьшена на 34-35 Т, 36-38 Т, 38-1-4 Т, 65-1 Т</t>
  </si>
  <si>
    <t>уменьшена на 65-1 Т</t>
  </si>
  <si>
    <t>Грузообслуживание в аэропорту г. Санкт-Петербург на 2013-2015 гг.</t>
  </si>
  <si>
    <t>33-14 У</t>
  </si>
  <si>
    <t xml:space="preserve"> г. Санкт-Петербург</t>
  </si>
  <si>
    <t>33-15 У</t>
  </si>
  <si>
    <t>Обслуживание багажа с использованием погрузчика паллет и контейнеров</t>
  </si>
  <si>
    <t>декабрь 2013</t>
  </si>
  <si>
    <t xml:space="preserve">г.Душанбе, Таджикистан </t>
  </si>
  <si>
    <t>33-16 У</t>
  </si>
  <si>
    <t>Услуги по наземному обслуживанию воздушных судов в г. Ташкент</t>
  </si>
  <si>
    <t>г. Ташкент</t>
  </si>
  <si>
    <t>33-17 У</t>
  </si>
  <si>
    <t>Расходы на наземное обслуживание в аэропорту</t>
  </si>
  <si>
    <t xml:space="preserve">г.Усть-Каменогорск, Казахстан </t>
  </si>
  <si>
    <t>33-18 У</t>
  </si>
  <si>
    <t>Услуги по удалению обледенения /противооблединительной  обработке (защите) и очистке от снега/льда г. Актобе</t>
  </si>
  <si>
    <t xml:space="preserve">г.Актобе, Казахстан </t>
  </si>
  <si>
    <t>20 Р</t>
  </si>
  <si>
    <t>Восстановление лакокрасочного покрытия внешней поверхности фюзеляжа ВС в соответствии с требованиями руководства по технической эксплуатации ВС</t>
  </si>
  <si>
    <t>33-19 У</t>
  </si>
  <si>
    <t>Услуги по наземной технической помощи в г. Ташкент</t>
  </si>
  <si>
    <t>строка уменьшена на 65-1 У,65-2 У, 65-4-17 У</t>
  </si>
  <si>
    <t>строка уменьшена на 33-2 У, 33-4-6,8 У, 33-11 У, 33-12 У, 33-13-14-19 У</t>
  </si>
  <si>
    <t xml:space="preserve">С изменениями и дополнениями от 20.12.2013 2013 </t>
  </si>
  <si>
    <t>58-3 У</t>
  </si>
  <si>
    <t xml:space="preserve">Аэронавигационное обслуживание воздушных судов на 2013-2014 года в воздушном пространстве Республики Узбекистан. </t>
  </si>
  <si>
    <t>52.23.12.30.00.00.00</t>
  </si>
  <si>
    <t>декабрь 2013 г.</t>
  </si>
  <si>
    <t>сумма уменьшеана на 58-1 У, 58-2 У, 58-3 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</si>
</sst>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#,##0.0"/>
    <numFmt numFmtId="179" formatCode="_(* #,##0_);_(* \(#,##0\);_(* &quot;-&quot;??_);_(@_)"/>
    <numFmt numFmtId="180" formatCode="[$-409]d\-mmm\-yy;@"/>
    <numFmt numFmtId="181" formatCode="[$-419]mmmm\ yyyy;@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_-;\-* #,##0_-;_-* &quot;-&quot;??_-;_-@_-"/>
    <numFmt numFmtId="188" formatCode="[$-419]mmmm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7" fillId="20" borderId="1" applyNumberFormat="0" applyAlignment="0" applyProtection="0"/>
    <xf numFmtId="0" fontId="12" fillId="21" borderId="2" applyNumberFormat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23" borderId="7" applyNumberFormat="0" applyFont="0" applyAlignment="0" applyProtection="0"/>
    <xf numFmtId="0" fontId="6" fillId="20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23" borderId="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1" fillId="0" borderId="0" xfId="138" applyFont="1">
      <alignment/>
      <protection/>
    </xf>
    <xf numFmtId="0" fontId="22" fillId="0" borderId="10" xfId="138" applyFont="1" applyBorder="1" applyAlignment="1">
      <alignment horizontal="left"/>
      <protection/>
    </xf>
    <xf numFmtId="0" fontId="23" fillId="0" borderId="11" xfId="138" applyFont="1" applyBorder="1" applyAlignment="1">
      <alignment horizontal="left"/>
      <protection/>
    </xf>
    <xf numFmtId="0" fontId="23" fillId="0" borderId="12" xfId="138" applyFont="1" applyBorder="1" applyAlignment="1">
      <alignment horizontal="left"/>
      <protection/>
    </xf>
    <xf numFmtId="0" fontId="21" fillId="0" borderId="0" xfId="138" applyFont="1" applyBorder="1" applyAlignment="1">
      <alignment/>
      <protection/>
    </xf>
    <xf numFmtId="0" fontId="24" fillId="0" borderId="0" xfId="138" applyFont="1" applyBorder="1" applyAlignment="1">
      <alignment/>
      <protection/>
    </xf>
    <xf numFmtId="0" fontId="25" fillId="0" borderId="13" xfId="138" applyFont="1" applyFill="1" applyBorder="1" applyAlignment="1">
      <alignment horizontal="center" vertical="top" wrapText="1"/>
      <protection/>
    </xf>
    <xf numFmtId="0" fontId="26" fillId="0" borderId="14" xfId="138" applyFont="1" applyBorder="1" applyAlignment="1">
      <alignment horizontal="center" vertical="top" wrapText="1"/>
      <protection/>
    </xf>
    <xf numFmtId="0" fontId="26" fillId="0" borderId="15" xfId="138" applyFont="1" applyBorder="1" applyAlignment="1">
      <alignment horizontal="center" vertical="top" wrapText="1"/>
      <protection/>
    </xf>
    <xf numFmtId="0" fontId="24" fillId="0" borderId="16" xfId="138" applyFont="1" applyBorder="1" applyAlignment="1">
      <alignment/>
      <protection/>
    </xf>
    <xf numFmtId="0" fontId="24" fillId="0" borderId="17" xfId="138" applyFont="1" applyBorder="1" applyAlignment="1">
      <alignment/>
      <protection/>
    </xf>
    <xf numFmtId="0" fontId="24" fillId="0" borderId="18" xfId="138" applyFont="1" applyBorder="1" applyAlignment="1">
      <alignment/>
      <protection/>
    </xf>
    <xf numFmtId="0" fontId="21" fillId="0" borderId="19" xfId="138" applyFont="1" applyBorder="1">
      <alignment/>
      <protection/>
    </xf>
    <xf numFmtId="0" fontId="28" fillId="0" borderId="20" xfId="150" applyFont="1" applyFill="1" applyBorder="1" applyAlignment="1">
      <alignment horizontal="left" vertical="center" wrapText="1"/>
      <protection/>
    </xf>
    <xf numFmtId="0" fontId="21" fillId="0" borderId="20" xfId="0" applyFont="1" applyBorder="1" applyAlignment="1">
      <alignment horizontal="left" vertical="center" wrapText="1"/>
    </xf>
    <xf numFmtId="49" fontId="28" fillId="0" borderId="20" xfId="156" applyNumberFormat="1" applyFont="1" applyFill="1" applyBorder="1" applyAlignment="1">
      <alignment horizontal="left" vertical="center" wrapText="1"/>
      <protection/>
    </xf>
    <xf numFmtId="0" fontId="28" fillId="0" borderId="20" xfId="0" applyFont="1" applyBorder="1" applyAlignment="1">
      <alignment horizontal="left" vertical="center" wrapText="1"/>
    </xf>
    <xf numFmtId="4" fontId="21" fillId="0" borderId="20" xfId="138" applyNumberFormat="1" applyFont="1" applyBorder="1" applyAlignment="1">
      <alignment horizontal="left" vertical="center"/>
      <protection/>
    </xf>
    <xf numFmtId="4" fontId="21" fillId="0" borderId="20" xfId="138" applyNumberFormat="1" applyFont="1" applyFill="1" applyBorder="1" applyAlignment="1">
      <alignment horizontal="left" vertical="center" wrapText="1"/>
      <protection/>
    </xf>
    <xf numFmtId="1" fontId="21" fillId="0" borderId="20" xfId="138" applyNumberFormat="1" applyFont="1" applyFill="1" applyBorder="1" applyAlignment="1">
      <alignment horizontal="left" vertical="center" wrapText="1"/>
      <protection/>
    </xf>
    <xf numFmtId="0" fontId="21" fillId="0" borderId="20" xfId="138" applyFont="1" applyFill="1" applyBorder="1" applyAlignment="1">
      <alignment horizontal="left" vertical="center" wrapText="1"/>
      <protection/>
    </xf>
    <xf numFmtId="0" fontId="21" fillId="0" borderId="2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17" fontId="28" fillId="0" borderId="20" xfId="0" applyNumberFormat="1" applyFont="1" applyFill="1" applyBorder="1" applyAlignment="1">
      <alignment horizontal="left" vertical="center" wrapText="1"/>
    </xf>
    <xf numFmtId="49" fontId="21" fillId="0" borderId="20" xfId="138" applyNumberFormat="1" applyFont="1" applyFill="1" applyBorder="1" applyAlignment="1">
      <alignment horizontal="left" vertical="center" wrapText="1"/>
      <protection/>
    </xf>
    <xf numFmtId="49" fontId="28" fillId="0" borderId="20" xfId="157" applyNumberFormat="1" applyFont="1" applyFill="1" applyBorder="1" applyAlignment="1">
      <alignment horizontal="left" vertical="center" wrapText="1"/>
      <protection/>
    </xf>
    <xf numFmtId="0" fontId="28" fillId="0" borderId="20" xfId="160" applyFont="1" applyFill="1" applyBorder="1" applyAlignment="1">
      <alignment horizontal="left" vertical="center" wrapText="1"/>
      <protection/>
    </xf>
    <xf numFmtId="0" fontId="21" fillId="0" borderId="20" xfId="149" applyFont="1" applyFill="1" applyBorder="1" applyAlignment="1">
      <alignment horizontal="left" vertical="center" wrapText="1"/>
      <protection/>
    </xf>
    <xf numFmtId="0" fontId="28" fillId="0" borderId="20" xfId="9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21" fillId="0" borderId="21" xfId="138" applyFont="1" applyFill="1" applyBorder="1" applyAlignment="1">
      <alignment horizontal="left" vertical="center" wrapText="1"/>
      <protection/>
    </xf>
    <xf numFmtId="4" fontId="28" fillId="0" borderId="20" xfId="0" applyNumberFormat="1" applyFont="1" applyBorder="1" applyAlignment="1">
      <alignment horizontal="left" vertical="center" wrapText="1"/>
    </xf>
    <xf numFmtId="4" fontId="21" fillId="0" borderId="20" xfId="0" applyNumberFormat="1" applyFont="1" applyBorder="1" applyAlignment="1">
      <alignment horizontal="left" vertical="center" wrapText="1"/>
    </xf>
    <xf numFmtId="1" fontId="21" fillId="0" borderId="0" xfId="138" applyNumberFormat="1" applyFont="1" applyFill="1" applyBorder="1" applyAlignment="1">
      <alignment horizontal="left" vertical="center" wrapText="1"/>
      <protection/>
    </xf>
    <xf numFmtId="49" fontId="28" fillId="0" borderId="20" xfId="0" applyNumberFormat="1" applyFont="1" applyFill="1" applyBorder="1" applyAlignment="1">
      <alignment horizontal="left" vertical="center" wrapText="1"/>
    </xf>
    <xf numFmtId="4" fontId="28" fillId="0" borderId="20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left" vertical="center" wrapText="1"/>
    </xf>
    <xf numFmtId="17" fontId="28" fillId="0" borderId="20" xfId="138" applyNumberFormat="1" applyFont="1" applyFill="1" applyBorder="1" applyAlignment="1">
      <alignment horizontal="left" vertical="center" wrapText="1"/>
      <protection/>
    </xf>
    <xf numFmtId="0" fontId="28" fillId="0" borderId="20" xfId="138" applyFont="1" applyFill="1" applyBorder="1" applyAlignment="1">
      <alignment horizontal="left" vertical="center" wrapText="1"/>
      <protection/>
    </xf>
    <xf numFmtId="0" fontId="28" fillId="0" borderId="20" xfId="155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1" fillId="0" borderId="22" xfId="0" applyFont="1" applyFill="1" applyBorder="1" applyAlignment="1">
      <alignment horizontal="left" vertical="center" wrapText="1"/>
    </xf>
    <xf numFmtId="4" fontId="21" fillId="0" borderId="0" xfId="0" applyNumberFormat="1" applyFont="1" applyAlignment="1">
      <alignment vertical="center"/>
    </xf>
    <xf numFmtId="4" fontId="21" fillId="0" borderId="0" xfId="138" applyNumberFormat="1" applyFont="1" applyAlignment="1">
      <alignment vertical="center"/>
      <protection/>
    </xf>
    <xf numFmtId="4" fontId="24" fillId="0" borderId="18" xfId="138" applyNumberFormat="1" applyFont="1" applyBorder="1" applyAlignment="1">
      <alignment vertical="center"/>
      <protection/>
    </xf>
    <xf numFmtId="3" fontId="26" fillId="0" borderId="15" xfId="138" applyNumberFormat="1" applyFont="1" applyBorder="1" applyAlignment="1">
      <alignment horizontal="center" vertical="center" wrapText="1"/>
      <protection/>
    </xf>
    <xf numFmtId="0" fontId="24" fillId="5" borderId="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0" fontId="21" fillId="5" borderId="21" xfId="0" applyFont="1" applyFill="1" applyBorder="1" applyAlignment="1">
      <alignment horizontal="left" vertical="center" wrapText="1"/>
    </xf>
    <xf numFmtId="0" fontId="21" fillId="5" borderId="21" xfId="138" applyFont="1" applyFill="1" applyBorder="1" applyAlignment="1">
      <alignment horizontal="left" vertical="center" wrapText="1"/>
      <protection/>
    </xf>
    <xf numFmtId="1" fontId="21" fillId="5" borderId="0" xfId="138" applyNumberFormat="1" applyFont="1" applyFill="1" applyBorder="1" applyAlignment="1">
      <alignment horizontal="left" vertical="center" wrapText="1"/>
      <protection/>
    </xf>
    <xf numFmtId="0" fontId="21" fillId="5" borderId="0" xfId="138" applyFont="1" applyFill="1" applyBorder="1" applyAlignment="1">
      <alignment horizontal="left" vertical="center" wrapText="1"/>
      <protection/>
    </xf>
    <xf numFmtId="0" fontId="28" fillId="5" borderId="0" xfId="0" applyFont="1" applyFill="1" applyBorder="1" applyAlignment="1">
      <alignment horizontal="left" vertical="center" wrapText="1"/>
    </xf>
    <xf numFmtId="4" fontId="24" fillId="5" borderId="0" xfId="0" applyNumberFormat="1" applyFont="1" applyFill="1" applyBorder="1" applyAlignment="1">
      <alignment horizontal="left" vertical="center" wrapText="1"/>
    </xf>
    <xf numFmtId="4" fontId="24" fillId="5" borderId="0" xfId="138" applyNumberFormat="1" applyFont="1" applyFill="1" applyBorder="1" applyAlignment="1">
      <alignment horizontal="left" vertical="center"/>
      <protection/>
    </xf>
    <xf numFmtId="4" fontId="24" fillId="5" borderId="21" xfId="0" applyNumberFormat="1" applyFont="1" applyFill="1" applyBorder="1" applyAlignment="1">
      <alignment horizontal="left" vertical="center" wrapText="1"/>
    </xf>
    <xf numFmtId="0" fontId="21" fillId="0" borderId="19" xfId="138" applyFont="1" applyFill="1" applyBorder="1" applyAlignment="1">
      <alignment horizontal="left" vertical="center" wrapText="1"/>
      <protection/>
    </xf>
    <xf numFmtId="4" fontId="21" fillId="0" borderId="20" xfId="138" applyNumberFormat="1" applyFont="1" applyFill="1" applyBorder="1" applyAlignment="1">
      <alignment horizontal="left" vertical="center"/>
      <protection/>
    </xf>
    <xf numFmtId="0" fontId="28" fillId="0" borderId="19" xfId="90" applyFont="1" applyFill="1" applyBorder="1" applyAlignment="1">
      <alignment horizontal="left" vertical="center" wrapText="1"/>
      <protection/>
    </xf>
    <xf numFmtId="0" fontId="28" fillId="0" borderId="19" xfId="150" applyFont="1" applyFill="1" applyBorder="1" applyAlignment="1">
      <alignment horizontal="left" vertical="center" wrapText="1"/>
      <protection/>
    </xf>
    <xf numFmtId="4" fontId="21" fillId="0" borderId="19" xfId="138" applyNumberFormat="1" applyFont="1" applyFill="1" applyBorder="1" applyAlignment="1">
      <alignment horizontal="left" vertical="center"/>
      <protection/>
    </xf>
    <xf numFmtId="3" fontId="21" fillId="0" borderId="20" xfId="0" applyNumberFormat="1" applyFont="1" applyFill="1" applyBorder="1" applyAlignment="1">
      <alignment horizontal="left" vertical="center" wrapText="1"/>
    </xf>
    <xf numFmtId="3" fontId="21" fillId="0" borderId="20" xfId="0" applyNumberFormat="1" applyFont="1" applyBorder="1" applyAlignment="1">
      <alignment horizontal="left" vertical="center" wrapText="1"/>
    </xf>
    <xf numFmtId="4" fontId="21" fillId="0" borderId="21" xfId="138" applyNumberFormat="1" applyFont="1" applyFill="1" applyBorder="1" applyAlignment="1">
      <alignment horizontal="left" vertical="center"/>
      <protection/>
    </xf>
    <xf numFmtId="1" fontId="21" fillId="0" borderId="20" xfId="0" applyNumberFormat="1" applyFont="1" applyFill="1" applyBorder="1" applyAlignment="1">
      <alignment horizontal="left" vertical="center" wrapText="1"/>
    </xf>
    <xf numFmtId="17" fontId="21" fillId="0" borderId="20" xfId="138" applyNumberFormat="1" applyFont="1" applyFill="1" applyBorder="1" applyAlignment="1">
      <alignment horizontal="left" vertical="center" wrapText="1"/>
      <protection/>
    </xf>
    <xf numFmtId="0" fontId="21" fillId="24" borderId="20" xfId="0" applyFont="1" applyFill="1" applyBorder="1" applyAlignment="1">
      <alignment horizontal="left" vertical="center" wrapText="1"/>
    </xf>
    <xf numFmtId="0" fontId="21" fillId="24" borderId="20" xfId="138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/>
    </xf>
    <xf numFmtId="181" fontId="28" fillId="0" borderId="20" xfId="0" applyNumberFormat="1" applyFont="1" applyBorder="1" applyAlignment="1">
      <alignment horizontal="left" vertical="center" wrapText="1"/>
    </xf>
    <xf numFmtId="4" fontId="28" fillId="0" borderId="20" xfId="183" applyNumberFormat="1" applyFont="1" applyBorder="1" applyAlignment="1">
      <alignment horizontal="left" vertical="center" wrapText="1"/>
    </xf>
    <xf numFmtId="4" fontId="28" fillId="0" borderId="20" xfId="178" applyNumberFormat="1" applyFont="1" applyFill="1" applyBorder="1" applyAlignment="1">
      <alignment horizontal="left" vertical="center" wrapText="1"/>
    </xf>
    <xf numFmtId="9" fontId="21" fillId="24" borderId="20" xfId="138" applyNumberFormat="1" applyFont="1" applyFill="1" applyBorder="1" applyAlignment="1">
      <alignment horizontal="left" vertical="center" wrapText="1"/>
      <protection/>
    </xf>
    <xf numFmtId="4" fontId="21" fillId="0" borderId="23" xfId="0" applyNumberFormat="1" applyFont="1" applyFill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/>
    </xf>
    <xf numFmtId="181" fontId="28" fillId="0" borderId="20" xfId="0" applyNumberFormat="1" applyFont="1" applyFill="1" applyBorder="1" applyAlignment="1">
      <alignment horizontal="left" vertical="center" wrapText="1"/>
    </xf>
    <xf numFmtId="9" fontId="21" fillId="0" borderId="20" xfId="138" applyNumberFormat="1" applyFont="1" applyFill="1" applyBorder="1" applyAlignment="1">
      <alignment horizontal="left" vertical="center" wrapText="1"/>
      <protection/>
    </xf>
    <xf numFmtId="2" fontId="21" fillId="0" borderId="20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left" vertical="center"/>
    </xf>
    <xf numFmtId="0" fontId="24" fillId="0" borderId="0" xfId="138" applyFont="1" applyBorder="1" applyAlignment="1">
      <alignment horizontal="center"/>
      <protection/>
    </xf>
    <xf numFmtId="4" fontId="28" fillId="0" borderId="20" xfId="183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1" fillId="0" borderId="24" xfId="0" applyFont="1" applyFill="1" applyBorder="1" applyAlignment="1">
      <alignment horizontal="left" vertical="center" wrapText="1"/>
    </xf>
    <xf numFmtId="0" fontId="21" fillId="0" borderId="0" xfId="90" applyFont="1" applyFill="1" applyAlignment="1">
      <alignment horizontal="left" vertical="center"/>
      <protection/>
    </xf>
    <xf numFmtId="1" fontId="21" fillId="0" borderId="0" xfId="90" applyNumberFormat="1" applyFont="1" applyFill="1" applyAlignment="1">
      <alignment horizontal="left" vertical="center"/>
      <protection/>
    </xf>
    <xf numFmtId="0" fontId="23" fillId="0" borderId="0" xfId="90" applyFont="1" applyFill="1" applyBorder="1" applyAlignment="1">
      <alignment horizontal="left" vertical="center"/>
      <protection/>
    </xf>
    <xf numFmtId="0" fontId="28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138" applyFont="1">
      <alignment/>
      <protection/>
    </xf>
    <xf numFmtId="0" fontId="23" fillId="0" borderId="0" xfId="138" applyFont="1">
      <alignment/>
      <protection/>
    </xf>
    <xf numFmtId="0" fontId="21" fillId="0" borderId="0" xfId="138" applyFont="1" applyBorder="1">
      <alignment/>
      <protection/>
    </xf>
    <xf numFmtId="0" fontId="23" fillId="0" borderId="0" xfId="138" applyFont="1" applyBorder="1">
      <alignment/>
      <protection/>
    </xf>
    <xf numFmtId="0" fontId="31" fillId="0" borderId="0" xfId="138" applyFont="1" applyBorder="1" applyAlignment="1">
      <alignment/>
      <protection/>
    </xf>
    <xf numFmtId="0" fontId="32" fillId="0" borderId="0" xfId="138" applyFont="1" applyBorder="1" applyAlignment="1">
      <alignment/>
      <protection/>
    </xf>
    <xf numFmtId="0" fontId="33" fillId="0" borderId="0" xfId="138" applyFont="1" applyAlignment="1">
      <alignment horizontal="center"/>
      <protection/>
    </xf>
    <xf numFmtId="0" fontId="22" fillId="0" borderId="0" xfId="138" applyFont="1" applyAlignment="1">
      <alignment horizontal="left" wrapText="1"/>
      <protection/>
    </xf>
    <xf numFmtId="0" fontId="34" fillId="0" borderId="0" xfId="138" applyFont="1" applyAlignment="1">
      <alignment horizontal="left"/>
      <protection/>
    </xf>
    <xf numFmtId="0" fontId="22" fillId="0" borderId="0" xfId="138" applyFont="1" applyAlignment="1">
      <alignment horizontal="left"/>
      <protection/>
    </xf>
    <xf numFmtId="0" fontId="22" fillId="0" borderId="0" xfId="138" applyFont="1" applyAlignment="1">
      <alignment/>
      <protection/>
    </xf>
    <xf numFmtId="0" fontId="22" fillId="0" borderId="0" xfId="138" applyFont="1" applyAlignment="1">
      <alignment wrapText="1"/>
      <protection/>
    </xf>
    <xf numFmtId="0" fontId="31" fillId="0" borderId="0" xfId="138" applyFont="1" applyAlignment="1">
      <alignment/>
      <protection/>
    </xf>
    <xf numFmtId="0" fontId="22" fillId="0" borderId="0" xfId="138" applyFont="1" applyBorder="1">
      <alignment/>
      <protection/>
    </xf>
    <xf numFmtId="0" fontId="35" fillId="0" borderId="0" xfId="138" applyFont="1" applyBorder="1">
      <alignment/>
      <protection/>
    </xf>
    <xf numFmtId="0" fontId="22" fillId="0" borderId="0" xfId="138" applyFont="1" applyBorder="1" applyAlignment="1">
      <alignment/>
      <protection/>
    </xf>
    <xf numFmtId="0" fontId="22" fillId="0" borderId="0" xfId="138" applyFont="1" applyBorder="1" applyAlignment="1">
      <alignment wrapText="1"/>
      <protection/>
    </xf>
    <xf numFmtId="0" fontId="22" fillId="0" borderId="0" xfId="138" applyFont="1" applyBorder="1" applyAlignment="1">
      <alignment horizontal="left" wrapText="1"/>
      <protection/>
    </xf>
    <xf numFmtId="0" fontId="22" fillId="0" borderId="0" xfId="138" applyFont="1" applyFill="1" applyBorder="1" applyAlignment="1">
      <alignment horizontal="left"/>
      <protection/>
    </xf>
    <xf numFmtId="0" fontId="22" fillId="0" borderId="0" xfId="138" applyFont="1" applyBorder="1" applyAlignment="1">
      <alignment horizontal="left"/>
      <protection/>
    </xf>
    <xf numFmtId="49" fontId="22" fillId="0" borderId="0" xfId="138" applyNumberFormat="1" applyFont="1" applyBorder="1" applyAlignment="1">
      <alignment/>
      <protection/>
    </xf>
    <xf numFmtId="0" fontId="22" fillId="0" borderId="0" xfId="138" applyFont="1" applyFill="1">
      <alignment/>
      <protection/>
    </xf>
    <xf numFmtId="3" fontId="21" fillId="0" borderId="20" xfId="0" applyNumberFormat="1" applyFont="1" applyBorder="1" applyAlignment="1">
      <alignment horizontal="left" vertical="center"/>
    </xf>
    <xf numFmtId="4" fontId="21" fillId="0" borderId="20" xfId="0" applyNumberFormat="1" applyFont="1" applyBorder="1" applyAlignment="1">
      <alignment horizontal="left" vertical="center"/>
    </xf>
    <xf numFmtId="0" fontId="28" fillId="0" borderId="20" xfId="161" applyFont="1" applyFill="1" applyBorder="1" applyAlignment="1">
      <alignment horizontal="left" vertical="center" wrapText="1"/>
      <protection/>
    </xf>
    <xf numFmtId="0" fontId="21" fillId="0" borderId="20" xfId="150" applyFont="1" applyFill="1" applyBorder="1" applyAlignment="1">
      <alignment horizontal="left" vertical="center" wrapText="1"/>
      <protection/>
    </xf>
    <xf numFmtId="0" fontId="21" fillId="0" borderId="20" xfId="161" applyFont="1" applyFill="1" applyBorder="1" applyAlignment="1">
      <alignment horizontal="left" vertical="center" wrapText="1"/>
      <protection/>
    </xf>
    <xf numFmtId="0" fontId="28" fillId="21" borderId="20" xfId="0" applyFont="1" applyFill="1" applyBorder="1" applyAlignment="1">
      <alignment horizontal="left" vertical="center" wrapText="1"/>
    </xf>
    <xf numFmtId="0" fontId="21" fillId="21" borderId="20" xfId="0" applyFont="1" applyFill="1" applyBorder="1" applyAlignment="1">
      <alignment horizontal="left" vertical="center"/>
    </xf>
    <xf numFmtId="0" fontId="21" fillId="21" borderId="20" xfId="0" applyFont="1" applyFill="1" applyBorder="1" applyAlignment="1">
      <alignment horizontal="left" vertical="center" wrapText="1"/>
    </xf>
    <xf numFmtId="3" fontId="21" fillId="21" borderId="20" xfId="0" applyNumberFormat="1" applyFont="1" applyFill="1" applyBorder="1" applyAlignment="1">
      <alignment horizontal="left" vertical="center"/>
    </xf>
    <xf numFmtId="4" fontId="21" fillId="21" borderId="20" xfId="0" applyNumberFormat="1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20" xfId="155" applyFont="1" applyFill="1" applyBorder="1" applyAlignment="1">
      <alignment horizontal="left" vertical="center" wrapText="1"/>
      <protection/>
    </xf>
    <xf numFmtId="17" fontId="21" fillId="0" borderId="20" xfId="0" applyNumberFormat="1" applyFont="1" applyFill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28" fillId="0" borderId="20" xfId="0" applyNumberFormat="1" applyFont="1" applyFill="1" applyBorder="1" applyAlignment="1">
      <alignment horizontal="left" vertical="center"/>
    </xf>
    <xf numFmtId="0" fontId="21" fillId="24" borderId="20" xfId="161" applyFont="1" applyFill="1" applyBorder="1" applyAlignment="1">
      <alignment horizontal="left" vertical="center" wrapText="1"/>
      <protection/>
    </xf>
    <xf numFmtId="0" fontId="21" fillId="0" borderId="22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21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21" fillId="0" borderId="0" xfId="0" applyFont="1" applyBorder="1" applyAlignment="1">
      <alignment horizontal="left" wrapText="1"/>
    </xf>
    <xf numFmtId="4" fontId="21" fillId="0" borderId="21" xfId="0" applyNumberFormat="1" applyFont="1" applyBorder="1" applyAlignment="1">
      <alignment horizontal="left" wrapText="1"/>
    </xf>
    <xf numFmtId="0" fontId="28" fillId="24" borderId="20" xfId="162" applyNumberFormat="1" applyFont="1" applyFill="1" applyBorder="1" applyAlignment="1">
      <alignment horizontal="left" vertical="center" wrapText="1"/>
      <protection/>
    </xf>
    <xf numFmtId="0" fontId="21" fillId="0" borderId="20" xfId="0" applyNumberFormat="1" applyFont="1" applyBorder="1" applyAlignment="1">
      <alignment horizontal="left" vertical="center" wrapText="1"/>
    </xf>
    <xf numFmtId="180" fontId="21" fillId="0" borderId="20" xfId="0" applyNumberFormat="1" applyFont="1" applyFill="1" applyBorder="1" applyAlignment="1">
      <alignment horizontal="left" vertical="center" wrapText="1"/>
    </xf>
    <xf numFmtId="0" fontId="28" fillId="0" borderId="20" xfId="0" applyNumberFormat="1" applyFont="1" applyBorder="1" applyAlignment="1">
      <alignment horizontal="left" vertical="center" wrapText="1"/>
    </xf>
    <xf numFmtId="0" fontId="28" fillId="24" borderId="20" xfId="163" applyFont="1" applyFill="1" applyBorder="1" applyAlignment="1">
      <alignment horizontal="left" vertical="center" wrapText="1"/>
      <protection/>
    </xf>
    <xf numFmtId="0" fontId="28" fillId="0" borderId="20" xfId="0" applyNumberFormat="1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top" wrapText="1"/>
    </xf>
    <xf numFmtId="0" fontId="24" fillId="21" borderId="20" xfId="0" applyFont="1" applyFill="1" applyBorder="1" applyAlignment="1">
      <alignment horizontal="left"/>
    </xf>
    <xf numFmtId="0" fontId="24" fillId="0" borderId="20" xfId="138" applyFont="1" applyBorder="1" applyAlignment="1">
      <alignment horizontal="left"/>
      <protection/>
    </xf>
    <xf numFmtId="0" fontId="21" fillId="0" borderId="20" xfId="138" applyFont="1" applyFill="1" applyBorder="1" applyAlignment="1">
      <alignment horizontal="left" vertical="center"/>
      <protection/>
    </xf>
    <xf numFmtId="0" fontId="23" fillId="0" borderId="0" xfId="138" applyFont="1" applyBorder="1" applyAlignment="1">
      <alignment wrapText="1"/>
      <protection/>
    </xf>
    <xf numFmtId="0" fontId="37" fillId="0" borderId="0" xfId="138" applyFont="1">
      <alignment/>
      <protection/>
    </xf>
    <xf numFmtId="0" fontId="21" fillId="0" borderId="0" xfId="138" applyFont="1" applyFill="1">
      <alignment/>
      <protection/>
    </xf>
    <xf numFmtId="0" fontId="39" fillId="0" borderId="0" xfId="138" applyFont="1" applyBorder="1" applyAlignment="1">
      <alignment/>
      <protection/>
    </xf>
    <xf numFmtId="0" fontId="28" fillId="24" borderId="20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/>
    </xf>
    <xf numFmtId="4" fontId="24" fillId="0" borderId="20" xfId="0" applyNumberFormat="1" applyFont="1" applyFill="1" applyBorder="1" applyAlignment="1">
      <alignment horizontal="left" vertical="center" wrapText="1"/>
    </xf>
    <xf numFmtId="1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41" fillId="0" borderId="20" xfId="91" applyFont="1" applyBorder="1" applyAlignment="1">
      <alignment horizontal="left" vertical="center" wrapText="1"/>
      <protection/>
    </xf>
    <xf numFmtId="4" fontId="24" fillId="21" borderId="20" xfId="0" applyNumberFormat="1" applyFont="1" applyFill="1" applyBorder="1" applyAlignment="1">
      <alignment horizontal="left" vertical="center"/>
    </xf>
    <xf numFmtId="0" fontId="41" fillId="0" borderId="20" xfId="0" applyFont="1" applyBorder="1" applyAlignment="1">
      <alignment horizontal="left" vertical="center" wrapText="1"/>
    </xf>
    <xf numFmtId="0" fontId="42" fillId="0" borderId="20" xfId="150" applyFont="1" applyFill="1" applyBorder="1" applyAlignment="1">
      <alignment horizontal="left" vertical="center" wrapText="1"/>
      <protection/>
    </xf>
    <xf numFmtId="1" fontId="41" fillId="0" borderId="20" xfId="91" applyNumberFormat="1" applyFont="1" applyFill="1" applyBorder="1" applyAlignment="1">
      <alignment horizontal="left" vertical="center" wrapText="1"/>
      <protection/>
    </xf>
    <xf numFmtId="0" fontId="42" fillId="0" borderId="20" xfId="0" applyFont="1" applyBorder="1" applyAlignment="1">
      <alignment horizontal="left" vertical="center" wrapText="1"/>
    </xf>
    <xf numFmtId="1" fontId="28" fillId="0" borderId="20" xfId="183" applyNumberFormat="1" applyFont="1" applyFill="1" applyBorder="1" applyAlignment="1">
      <alignment horizontal="left" vertical="center" wrapText="1"/>
    </xf>
    <xf numFmtId="0" fontId="21" fillId="0" borderId="20" xfId="138" applyFont="1" applyBorder="1" applyAlignment="1">
      <alignment horizontal="left" vertical="center" wrapText="1"/>
      <protection/>
    </xf>
    <xf numFmtId="181" fontId="41" fillId="0" borderId="24" xfId="0" applyNumberFormat="1" applyFont="1" applyFill="1" applyBorder="1" applyAlignment="1">
      <alignment horizontal="left" vertical="center"/>
    </xf>
    <xf numFmtId="1" fontId="41" fillId="0" borderId="20" xfId="92" applyNumberFormat="1" applyFont="1" applyFill="1" applyBorder="1" applyAlignment="1">
      <alignment horizontal="left" vertical="center"/>
      <protection/>
    </xf>
    <xf numFmtId="4" fontId="21" fillId="0" borderId="20" xfId="181" applyNumberFormat="1" applyFont="1" applyBorder="1" applyAlignment="1">
      <alignment horizontal="left" vertical="center" wrapText="1"/>
    </xf>
    <xf numFmtId="4" fontId="28" fillId="0" borderId="20" xfId="0" applyNumberFormat="1" applyFont="1" applyBorder="1" applyAlignment="1">
      <alignment horizontal="left" vertical="center"/>
    </xf>
    <xf numFmtId="49" fontId="28" fillId="24" borderId="20" xfId="161" applyNumberFormat="1" applyFont="1" applyFill="1" applyBorder="1" applyAlignment="1">
      <alignment horizontal="left" vertical="center" wrapText="1"/>
      <protection/>
    </xf>
    <xf numFmtId="0" fontId="28" fillId="24" borderId="20" xfId="0" applyFont="1" applyFill="1" applyBorder="1" applyAlignment="1">
      <alignment vertical="center" wrapText="1"/>
    </xf>
    <xf numFmtId="4" fontId="21" fillId="0" borderId="20" xfId="91" applyNumberFormat="1" applyFont="1" applyBorder="1" applyAlignment="1">
      <alignment horizontal="left" vertical="center"/>
      <protection/>
    </xf>
    <xf numFmtId="0" fontId="21" fillId="5" borderId="19" xfId="0" applyFont="1" applyFill="1" applyBorder="1" applyAlignment="1">
      <alignment horizontal="left"/>
    </xf>
    <xf numFmtId="0" fontId="21" fillId="0" borderId="22" xfId="138" applyFont="1" applyFill="1" applyBorder="1" applyAlignment="1">
      <alignment horizontal="left" vertical="center" wrapText="1"/>
      <protection/>
    </xf>
    <xf numFmtId="0" fontId="28" fillId="0" borderId="2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horizontal="left" vertical="center"/>
    </xf>
    <xf numFmtId="4" fontId="30" fillId="24" borderId="0" xfId="161" applyNumberFormat="1" applyFont="1" applyFill="1" applyBorder="1" applyAlignment="1">
      <alignment horizontal="center" vertical="center" wrapText="1"/>
      <protection/>
    </xf>
    <xf numFmtId="4" fontId="28" fillId="0" borderId="22" xfId="178" applyNumberFormat="1" applyFont="1" applyFill="1" applyBorder="1" applyAlignment="1">
      <alignment horizontal="left" vertical="center" wrapText="1"/>
    </xf>
    <xf numFmtId="4" fontId="21" fillId="0" borderId="19" xfId="0" applyNumberFormat="1" applyFont="1" applyBorder="1" applyAlignment="1">
      <alignment horizontal="left" vertical="center"/>
    </xf>
    <xf numFmtId="4" fontId="28" fillId="0" borderId="19" xfId="178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1" fillId="24" borderId="20" xfId="138" applyFont="1" applyFill="1" applyBorder="1" applyAlignment="1">
      <alignment vertical="center" wrapText="1"/>
      <protection/>
    </xf>
    <xf numFmtId="181" fontId="21" fillId="0" borderId="20" xfId="0" applyNumberFormat="1" applyFont="1" applyFill="1" applyBorder="1" applyAlignment="1">
      <alignment horizontal="left" vertical="center" wrapText="1"/>
    </xf>
    <xf numFmtId="0" fontId="42" fillId="0" borderId="22" xfId="161" applyFont="1" applyFill="1" applyBorder="1" applyAlignment="1">
      <alignment horizontal="left" vertical="center" wrapText="1"/>
      <protection/>
    </xf>
    <xf numFmtId="0" fontId="42" fillId="24" borderId="22" xfId="161" applyFont="1" applyFill="1" applyBorder="1" applyAlignment="1">
      <alignment horizontal="left" vertical="center" wrapText="1"/>
      <protection/>
    </xf>
    <xf numFmtId="1" fontId="41" fillId="0" borderId="22" xfId="0" applyNumberFormat="1" applyFont="1" applyFill="1" applyBorder="1" applyAlignment="1">
      <alignment horizontal="left" vertical="center" wrapText="1"/>
    </xf>
    <xf numFmtId="181" fontId="28" fillId="0" borderId="22" xfId="0" applyNumberFormat="1" applyFont="1" applyFill="1" applyBorder="1" applyAlignment="1">
      <alignment horizontal="left" vertical="center" wrapText="1"/>
    </xf>
    <xf numFmtId="0" fontId="21" fillId="24" borderId="22" xfId="138" applyFont="1" applyFill="1" applyBorder="1" applyAlignment="1">
      <alignment horizontal="left" vertical="center" wrapText="1"/>
      <protection/>
    </xf>
    <xf numFmtId="0" fontId="28" fillId="0" borderId="22" xfId="0" applyFont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4" fontId="28" fillId="0" borderId="22" xfId="0" applyNumberFormat="1" applyFont="1" applyBorder="1" applyAlignment="1">
      <alignment horizontal="left" vertical="center"/>
    </xf>
    <xf numFmtId="4" fontId="21" fillId="0" borderId="22" xfId="0" applyNumberFormat="1" applyFont="1" applyFill="1" applyBorder="1" applyAlignment="1">
      <alignment horizontal="left" vertical="center" wrapText="1"/>
    </xf>
    <xf numFmtId="0" fontId="24" fillId="5" borderId="19" xfId="0" applyFont="1" applyFill="1" applyBorder="1" applyAlignment="1">
      <alignment horizontal="left"/>
    </xf>
    <xf numFmtId="4" fontId="21" fillId="5" borderId="19" xfId="0" applyNumberFormat="1" applyFont="1" applyFill="1" applyBorder="1" applyAlignment="1">
      <alignment horizontal="left"/>
    </xf>
    <xf numFmtId="4" fontId="24" fillId="5" borderId="19" xfId="0" applyNumberFormat="1" applyFont="1" applyFill="1" applyBorder="1" applyAlignment="1">
      <alignment horizontal="left"/>
    </xf>
    <xf numFmtId="4" fontId="24" fillId="5" borderId="19" xfId="0" applyNumberFormat="1" applyFont="1" applyFill="1" applyBorder="1" applyAlignment="1">
      <alignment horizontal="left" vertical="center"/>
    </xf>
    <xf numFmtId="4" fontId="28" fillId="0" borderId="20" xfId="0" applyNumberFormat="1" applyFont="1" applyBorder="1" applyAlignment="1">
      <alignment horizontal="left" vertical="center"/>
    </xf>
    <xf numFmtId="0" fontId="21" fillId="0" borderId="20" xfId="92" applyFont="1" applyBorder="1" applyAlignment="1">
      <alignment horizontal="left" vertical="center" wrapText="1"/>
      <protection/>
    </xf>
    <xf numFmtId="1" fontId="21" fillId="0" borderId="20" xfId="92" applyNumberFormat="1" applyFont="1" applyFill="1" applyBorder="1" applyAlignment="1">
      <alignment horizontal="left" vertical="center" wrapText="1"/>
      <protection/>
    </xf>
    <xf numFmtId="4" fontId="28" fillId="0" borderId="20" xfId="178" applyNumberFormat="1" applyFont="1" applyBorder="1" applyAlignment="1">
      <alignment horizontal="left" vertical="center" wrapText="1"/>
    </xf>
    <xf numFmtId="0" fontId="28" fillId="0" borderId="20" xfId="0" applyFont="1" applyFill="1" applyBorder="1" applyAlignment="1">
      <alignment wrapText="1"/>
    </xf>
    <xf numFmtId="0" fontId="28" fillId="0" borderId="20" xfId="0" applyFont="1" applyFill="1" applyBorder="1" applyAlignment="1">
      <alignment vertical="center" wrapText="1"/>
    </xf>
    <xf numFmtId="0" fontId="21" fillId="0" borderId="20" xfId="90" applyFont="1" applyFill="1" applyBorder="1" applyAlignment="1">
      <alignment horizontal="left" vertical="center" wrapText="1"/>
      <protection/>
    </xf>
    <xf numFmtId="0" fontId="21" fillId="0" borderId="20" xfId="91" applyFont="1" applyBorder="1" applyAlignment="1">
      <alignment horizontal="left" vertical="center" wrapText="1"/>
      <protection/>
    </xf>
    <xf numFmtId="1" fontId="21" fillId="0" borderId="20" xfId="91" applyNumberFormat="1" applyFont="1" applyFill="1" applyBorder="1" applyAlignment="1">
      <alignment horizontal="left" vertical="center" wrapText="1"/>
      <protection/>
    </xf>
    <xf numFmtId="3" fontId="21" fillId="0" borderId="20" xfId="91" applyNumberFormat="1" applyFont="1" applyBorder="1" applyAlignment="1">
      <alignment horizontal="left" vertical="center"/>
      <protection/>
    </xf>
    <xf numFmtId="0" fontId="21" fillId="0" borderId="24" xfId="0" applyFont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7" fontId="36" fillId="0" borderId="22" xfId="0" applyNumberFormat="1" applyFont="1" applyFill="1" applyBorder="1" applyAlignment="1">
      <alignment horizontal="left" vertical="center" wrapText="1"/>
    </xf>
    <xf numFmtId="17" fontId="36" fillId="0" borderId="19" xfId="0" applyNumberFormat="1" applyFont="1" applyFill="1" applyBorder="1" applyAlignment="1">
      <alignment horizontal="left" vertical="center" wrapText="1"/>
    </xf>
    <xf numFmtId="0" fontId="21" fillId="0" borderId="20" xfId="0" applyFont="1" applyBorder="1" applyAlignment="1">
      <alignment vertical="center" wrapText="1"/>
    </xf>
    <xf numFmtId="4" fontId="28" fillId="0" borderId="22" xfId="183" applyNumberFormat="1" applyFont="1" applyFill="1" applyBorder="1" applyAlignment="1">
      <alignment horizontal="left" vertical="center" wrapText="1"/>
    </xf>
    <xf numFmtId="0" fontId="28" fillId="0" borderId="22" xfId="161" applyFont="1" applyFill="1" applyBorder="1" applyAlignment="1">
      <alignment horizontal="left" vertical="center" wrapText="1"/>
      <protection/>
    </xf>
    <xf numFmtId="0" fontId="36" fillId="0" borderId="22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left"/>
    </xf>
    <xf numFmtId="181" fontId="28" fillId="0" borderId="22" xfId="0" applyNumberFormat="1" applyFont="1" applyBorder="1" applyAlignment="1">
      <alignment horizontal="left" vertical="center" wrapText="1"/>
    </xf>
    <xf numFmtId="4" fontId="28" fillId="0" borderId="22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/>
    </xf>
    <xf numFmtId="181" fontId="28" fillId="0" borderId="19" xfId="0" applyNumberFormat="1" applyFont="1" applyBorder="1" applyAlignment="1">
      <alignment horizontal="left" vertical="center" wrapText="1"/>
    </xf>
    <xf numFmtId="0" fontId="21" fillId="24" borderId="19" xfId="138" applyFont="1" applyFill="1" applyBorder="1" applyAlignment="1">
      <alignment horizontal="left" vertical="center" wrapText="1"/>
      <protection/>
    </xf>
    <xf numFmtId="9" fontId="21" fillId="24" borderId="19" xfId="138" applyNumberFormat="1" applyFont="1" applyFill="1" applyBorder="1" applyAlignment="1">
      <alignment horizontal="left" vertical="center" wrapText="1"/>
      <protection/>
    </xf>
    <xf numFmtId="4" fontId="21" fillId="0" borderId="19" xfId="0" applyNumberFormat="1" applyFont="1" applyBorder="1" applyAlignment="1">
      <alignment horizontal="left" vertical="center" wrapText="1"/>
    </xf>
    <xf numFmtId="4" fontId="21" fillId="0" borderId="19" xfId="0" applyNumberFormat="1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0" fillId="0" borderId="20" xfId="0" applyFont="1" applyBorder="1" applyAlignment="1">
      <alignment vertical="center" wrapText="1"/>
    </xf>
    <xf numFmtId="4" fontId="28" fillId="0" borderId="20" xfId="183" applyNumberFormat="1" applyFont="1" applyBorder="1" applyAlignment="1">
      <alignment horizontal="left" vertical="center"/>
    </xf>
    <xf numFmtId="0" fontId="26" fillId="0" borderId="26" xfId="138" applyFont="1" applyBorder="1" applyAlignment="1">
      <alignment horizontal="center" vertical="top" wrapText="1"/>
      <protection/>
    </xf>
    <xf numFmtId="0" fontId="26" fillId="0" borderId="27" xfId="138" applyFont="1" applyBorder="1" applyAlignment="1">
      <alignment horizontal="center" vertical="top" wrapText="1"/>
      <protection/>
    </xf>
    <xf numFmtId="4" fontId="21" fillId="0" borderId="0" xfId="0" applyNumberFormat="1" applyFont="1" applyFill="1" applyAlignment="1">
      <alignment horizontal="left" vertical="center"/>
    </xf>
    <xf numFmtId="4" fontId="21" fillId="0" borderId="22" xfId="91" applyNumberFormat="1" applyFont="1" applyBorder="1" applyAlignment="1">
      <alignment horizontal="left" vertical="center"/>
      <protection/>
    </xf>
    <xf numFmtId="4" fontId="21" fillId="0" borderId="20" xfId="178" applyNumberFormat="1" applyFont="1" applyBorder="1" applyAlignment="1">
      <alignment horizontal="left" vertical="center" wrapText="1"/>
    </xf>
    <xf numFmtId="0" fontId="21" fillId="0" borderId="24" xfId="138" applyFont="1" applyFill="1" applyBorder="1" applyAlignment="1">
      <alignment horizontal="left" vertical="center"/>
      <protection/>
    </xf>
    <xf numFmtId="49" fontId="21" fillId="0" borderId="24" xfId="0" applyNumberFormat="1" applyFont="1" applyBorder="1" applyAlignment="1">
      <alignment horizontal="left" vertical="center" wrapText="1"/>
    </xf>
    <xf numFmtId="0" fontId="21" fillId="24" borderId="24" xfId="161" applyFont="1" applyFill="1" applyBorder="1" applyAlignment="1">
      <alignment horizontal="left" vertical="center" wrapText="1"/>
      <protection/>
    </xf>
    <xf numFmtId="49" fontId="21" fillId="0" borderId="25" xfId="0" applyNumberFormat="1" applyFont="1" applyBorder="1" applyAlignment="1">
      <alignment horizontal="left" vertical="center" wrapText="1"/>
    </xf>
    <xf numFmtId="49" fontId="21" fillId="0" borderId="16" xfId="138" applyNumberFormat="1" applyFont="1" applyFill="1" applyBorder="1" applyAlignment="1">
      <alignment horizontal="left" vertical="center" wrapText="1"/>
      <protection/>
    </xf>
    <xf numFmtId="0" fontId="28" fillId="0" borderId="24" xfId="0" applyFont="1" applyFill="1" applyBorder="1" applyAlignment="1">
      <alignment horizontal="left" vertical="center" wrapText="1"/>
    </xf>
    <xf numFmtId="0" fontId="21" fillId="0" borderId="24" xfId="161" applyFont="1" applyFill="1" applyBorder="1" applyAlignment="1">
      <alignment horizontal="left" vertical="center" wrapText="1"/>
      <protection/>
    </xf>
    <xf numFmtId="0" fontId="28" fillId="0" borderId="24" xfId="161" applyFont="1" applyFill="1" applyBorder="1" applyAlignment="1">
      <alignment horizontal="left" vertical="center" wrapText="1"/>
      <protection/>
    </xf>
    <xf numFmtId="0" fontId="41" fillId="0" borderId="24" xfId="0" applyFont="1" applyBorder="1" applyAlignment="1">
      <alignment horizontal="left" vertical="center" wrapText="1"/>
    </xf>
    <xf numFmtId="49" fontId="21" fillId="0" borderId="24" xfId="161" applyNumberFormat="1" applyFont="1" applyFill="1" applyBorder="1" applyAlignment="1">
      <alignment horizontal="left" vertical="center" wrapText="1"/>
      <protection/>
    </xf>
    <xf numFmtId="49" fontId="28" fillId="0" borderId="24" xfId="161" applyNumberFormat="1" applyFont="1" applyFill="1" applyBorder="1" applyAlignment="1">
      <alignment horizontal="left" vertical="center" wrapText="1"/>
      <protection/>
    </xf>
    <xf numFmtId="0" fontId="41" fillId="0" borderId="24" xfId="91" applyFont="1" applyBorder="1" applyAlignment="1">
      <alignment horizontal="left" vertical="center" wrapText="1"/>
      <protection/>
    </xf>
    <xf numFmtId="0" fontId="21" fillId="24" borderId="24" xfId="0" applyFont="1" applyFill="1" applyBorder="1" applyAlignment="1">
      <alignment horizontal="left" vertical="center" wrapText="1"/>
    </xf>
    <xf numFmtId="0" fontId="28" fillId="24" borderId="24" xfId="0" applyFont="1" applyFill="1" applyBorder="1" applyAlignment="1">
      <alignment horizontal="left" vertical="center" wrapText="1"/>
    </xf>
    <xf numFmtId="0" fontId="28" fillId="24" borderId="24" xfId="162" applyNumberFormat="1" applyFont="1" applyFill="1" applyBorder="1" applyAlignment="1">
      <alignment horizontal="left" vertical="center" wrapText="1"/>
      <protection/>
    </xf>
    <xf numFmtId="0" fontId="28" fillId="24" borderId="24" xfId="163" applyFont="1" applyFill="1" applyBorder="1" applyAlignment="1">
      <alignment horizontal="left" vertical="center" wrapText="1"/>
      <protection/>
    </xf>
    <xf numFmtId="0" fontId="21" fillId="24" borderId="24" xfId="0" applyFont="1" applyFill="1" applyBorder="1" applyAlignment="1">
      <alignment horizontal="left" vertical="top" wrapText="1"/>
    </xf>
    <xf numFmtId="0" fontId="21" fillId="24" borderId="24" xfId="156" applyFont="1" applyFill="1" applyBorder="1" applyAlignment="1">
      <alignment vertical="center" wrapText="1"/>
      <protection/>
    </xf>
    <xf numFmtId="49" fontId="21" fillId="0" borderId="25" xfId="161" applyNumberFormat="1" applyFont="1" applyFill="1" applyBorder="1" applyAlignment="1">
      <alignment horizontal="left" vertical="center" wrapText="1"/>
      <protection/>
    </xf>
    <xf numFmtId="0" fontId="21" fillId="0" borderId="2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49" fontId="28" fillId="24" borderId="24" xfId="161" applyNumberFormat="1" applyFont="1" applyFill="1" applyBorder="1" applyAlignment="1">
      <alignment horizontal="left" vertical="center" wrapText="1"/>
      <protection/>
    </xf>
    <xf numFmtId="0" fontId="21" fillId="0" borderId="24" xfId="138" applyFont="1" applyBorder="1" applyAlignment="1">
      <alignment horizontal="left" vertical="center" wrapText="1"/>
      <protection/>
    </xf>
    <xf numFmtId="49" fontId="42" fillId="24" borderId="25" xfId="161" applyNumberFormat="1" applyFont="1" applyFill="1" applyBorder="1" applyAlignment="1">
      <alignment horizontal="left" vertical="center" wrapText="1"/>
      <protection/>
    </xf>
    <xf numFmtId="0" fontId="28" fillId="0" borderId="24" xfId="0" applyFont="1" applyBorder="1" applyAlignment="1">
      <alignment horizontal="left" vertical="center" wrapText="1"/>
    </xf>
    <xf numFmtId="0" fontId="21" fillId="0" borderId="24" xfId="91" applyFont="1" applyBorder="1" applyAlignment="1">
      <alignment horizontal="left" vertical="center" wrapText="1"/>
      <protection/>
    </xf>
    <xf numFmtId="0" fontId="21" fillId="5" borderId="16" xfId="0" applyFont="1" applyFill="1" applyBorder="1" applyAlignment="1">
      <alignment horizontal="left"/>
    </xf>
    <xf numFmtId="0" fontId="21" fillId="21" borderId="24" xfId="0" applyFont="1" applyFill="1" applyBorder="1" applyAlignment="1">
      <alignment horizontal="left" vertical="center"/>
    </xf>
    <xf numFmtId="0" fontId="24" fillId="0" borderId="24" xfId="138" applyFont="1" applyBorder="1" applyAlignment="1">
      <alignment horizontal="left"/>
      <protection/>
    </xf>
    <xf numFmtId="0" fontId="21" fillId="0" borderId="23" xfId="138" applyFont="1" applyFill="1" applyBorder="1" applyAlignment="1">
      <alignment horizontal="left" vertical="center" wrapText="1"/>
      <protection/>
    </xf>
    <xf numFmtId="0" fontId="36" fillId="0" borderId="23" xfId="138" applyFont="1" applyFill="1" applyBorder="1" applyAlignment="1">
      <alignment horizontal="left" vertical="center" wrapText="1"/>
      <protection/>
    </xf>
    <xf numFmtId="0" fontId="36" fillId="0" borderId="23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1" fillId="5" borderId="28" xfId="138" applyFont="1" applyFill="1" applyBorder="1" applyAlignment="1">
      <alignment horizontal="left" vertical="center" wrapText="1"/>
      <protection/>
    </xf>
    <xf numFmtId="0" fontId="21" fillId="0" borderId="28" xfId="138" applyFont="1" applyFill="1" applyBorder="1" applyAlignment="1">
      <alignment horizontal="left" vertical="center"/>
      <protection/>
    </xf>
    <xf numFmtId="0" fontId="28" fillId="0" borderId="23" xfId="150" applyFont="1" applyFill="1" applyBorder="1" applyAlignment="1">
      <alignment horizontal="left" vertical="center" wrapText="1"/>
      <protection/>
    </xf>
    <xf numFmtId="0" fontId="21" fillId="0" borderId="23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3" xfId="150" applyFont="1" applyFill="1" applyBorder="1" applyAlignment="1">
      <alignment horizontal="left" vertical="center" wrapText="1"/>
      <protection/>
    </xf>
    <xf numFmtId="0" fontId="36" fillId="0" borderId="23" xfId="0" applyFont="1" applyBorder="1" applyAlignment="1">
      <alignment horizontal="left" vertical="center" wrapText="1"/>
    </xf>
    <xf numFmtId="0" fontId="36" fillId="0" borderId="29" xfId="138" applyFont="1" applyFill="1" applyBorder="1" applyAlignment="1">
      <alignment horizontal="left" vertical="center" wrapText="1"/>
      <protection/>
    </xf>
    <xf numFmtId="0" fontId="21" fillId="0" borderId="29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8" xfId="138" applyFont="1" applyFill="1" applyBorder="1" applyAlignment="1">
      <alignment horizontal="left" vertical="center" wrapText="1"/>
      <protection/>
    </xf>
    <xf numFmtId="0" fontId="28" fillId="0" borderId="23" xfId="0" applyFont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5" borderId="18" xfId="0" applyFont="1" applyFill="1" applyBorder="1" applyAlignment="1">
      <alignment horizontal="left"/>
    </xf>
    <xf numFmtId="0" fontId="21" fillId="21" borderId="23" xfId="0" applyFont="1" applyFill="1" applyBorder="1" applyAlignment="1">
      <alignment horizontal="left" vertical="center" wrapText="1"/>
    </xf>
    <xf numFmtId="0" fontId="24" fillId="0" borderId="23" xfId="138" applyFont="1" applyBorder="1" applyAlignment="1">
      <alignment horizontal="left"/>
      <protection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23" fillId="0" borderId="26" xfId="138" applyFont="1" applyBorder="1" applyAlignment="1">
      <alignment horizontal="left"/>
      <protection/>
    </xf>
    <xf numFmtId="0" fontId="23" fillId="0" borderId="27" xfId="138" applyFont="1" applyBorder="1" applyAlignment="1">
      <alignment horizontal="left"/>
      <protection/>
    </xf>
    <xf numFmtId="0" fontId="21" fillId="0" borderId="31" xfId="138" applyFont="1" applyBorder="1">
      <alignment/>
      <protection/>
    </xf>
    <xf numFmtId="0" fontId="21" fillId="0" borderId="28" xfId="138" applyFont="1" applyBorder="1">
      <alignment/>
      <protection/>
    </xf>
    <xf numFmtId="0" fontId="24" fillId="0" borderId="31" xfId="138" applyFont="1" applyBorder="1" applyAlignment="1">
      <alignment horizontal="center"/>
      <protection/>
    </xf>
    <xf numFmtId="0" fontId="24" fillId="0" borderId="28" xfId="138" applyFont="1" applyBorder="1" applyAlignment="1">
      <alignment horizontal="center"/>
      <protection/>
    </xf>
    <xf numFmtId="0" fontId="23" fillId="0" borderId="31" xfId="90" applyFont="1" applyFill="1" applyBorder="1" applyAlignment="1">
      <alignment horizontal="left" vertical="center"/>
      <protection/>
    </xf>
    <xf numFmtId="1" fontId="21" fillId="0" borderId="28" xfId="90" applyNumberFormat="1" applyFont="1" applyFill="1" applyBorder="1" applyAlignment="1">
      <alignment horizontal="left" vertical="center"/>
      <protection/>
    </xf>
    <xf numFmtId="0" fontId="21" fillId="0" borderId="31" xfId="90" applyFont="1" applyFill="1" applyBorder="1" applyAlignment="1">
      <alignment horizontal="left" vertical="center"/>
      <protection/>
    </xf>
    <xf numFmtId="0" fontId="21" fillId="0" borderId="0" xfId="90" applyFont="1" applyFill="1" applyBorder="1" applyAlignment="1">
      <alignment horizontal="left" vertical="center"/>
      <protection/>
    </xf>
    <xf numFmtId="0" fontId="23" fillId="0" borderId="28" xfId="90" applyFont="1" applyFill="1" applyBorder="1" applyAlignment="1">
      <alignment horizontal="left" vertical="center"/>
      <protection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21" fillId="5" borderId="31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1" fillId="0" borderId="3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39" fillId="0" borderId="31" xfId="138" applyFont="1" applyBorder="1" applyAlignment="1">
      <alignment/>
      <protection/>
    </xf>
    <xf numFmtId="0" fontId="23" fillId="0" borderId="28" xfId="138" applyFont="1" applyBorder="1">
      <alignment/>
      <protection/>
    </xf>
    <xf numFmtId="0" fontId="23" fillId="0" borderId="31" xfId="138" applyFont="1" applyBorder="1">
      <alignment/>
      <protection/>
    </xf>
    <xf numFmtId="0" fontId="23" fillId="0" borderId="31" xfId="138" applyFont="1" applyBorder="1" applyAlignment="1">
      <alignment wrapText="1"/>
      <protection/>
    </xf>
    <xf numFmtId="0" fontId="23" fillId="0" borderId="28" xfId="138" applyFont="1" applyBorder="1" applyAlignment="1">
      <alignment wrapText="1"/>
      <protection/>
    </xf>
    <xf numFmtId="0" fontId="37" fillId="0" borderId="31" xfId="138" applyFont="1" applyBorder="1">
      <alignment/>
      <protection/>
    </xf>
    <xf numFmtId="0" fontId="37" fillId="0" borderId="0" xfId="138" applyFont="1" applyBorder="1">
      <alignment/>
      <protection/>
    </xf>
    <xf numFmtId="0" fontId="32" fillId="0" borderId="31" xfId="138" applyFont="1" applyBorder="1" applyAlignment="1">
      <alignment/>
      <protection/>
    </xf>
    <xf numFmtId="0" fontId="32" fillId="0" borderId="28" xfId="138" applyFont="1" applyBorder="1" applyAlignment="1">
      <alignment/>
      <protection/>
    </xf>
    <xf numFmtId="0" fontId="22" fillId="0" borderId="31" xfId="138" applyFont="1" applyBorder="1" applyAlignment="1">
      <alignment horizontal="left" wrapText="1"/>
      <protection/>
    </xf>
    <xf numFmtId="0" fontId="22" fillId="0" borderId="28" xfId="138" applyFont="1" applyBorder="1" applyAlignment="1">
      <alignment horizontal="left" wrapText="1"/>
      <protection/>
    </xf>
    <xf numFmtId="0" fontId="22" fillId="0" borderId="31" xfId="138" applyFont="1" applyBorder="1" applyAlignment="1">
      <alignment wrapText="1"/>
      <protection/>
    </xf>
    <xf numFmtId="0" fontId="22" fillId="0" borderId="28" xfId="138" applyFont="1" applyBorder="1" applyAlignment="1">
      <alignment wrapText="1"/>
      <protection/>
    </xf>
    <xf numFmtId="0" fontId="35" fillId="0" borderId="31" xfId="138" applyFont="1" applyBorder="1">
      <alignment/>
      <protection/>
    </xf>
    <xf numFmtId="0" fontId="35" fillId="0" borderId="28" xfId="138" applyFont="1" applyBorder="1">
      <alignment/>
      <protection/>
    </xf>
    <xf numFmtId="0" fontId="22" fillId="0" borderId="31" xfId="138" applyFont="1" applyFill="1" applyBorder="1" applyAlignment="1">
      <alignment horizontal="left" wrapText="1"/>
      <protection/>
    </xf>
    <xf numFmtId="49" fontId="22" fillId="0" borderId="31" xfId="138" applyNumberFormat="1" applyFont="1" applyBorder="1" applyAlignment="1">
      <alignment/>
      <protection/>
    </xf>
    <xf numFmtId="49" fontId="22" fillId="0" borderId="28" xfId="138" applyNumberFormat="1" applyFont="1" applyBorder="1" applyAlignment="1">
      <alignment/>
      <protection/>
    </xf>
    <xf numFmtId="0" fontId="22" fillId="0" borderId="31" xfId="138" applyFont="1" applyBorder="1">
      <alignment/>
      <protection/>
    </xf>
    <xf numFmtId="0" fontId="22" fillId="0" borderId="28" xfId="138" applyFont="1" applyBorder="1">
      <alignment/>
      <protection/>
    </xf>
    <xf numFmtId="0" fontId="22" fillId="0" borderId="31" xfId="138" applyFont="1" applyFill="1" applyBorder="1">
      <alignment/>
      <protection/>
    </xf>
    <xf numFmtId="0" fontId="22" fillId="0" borderId="0" xfId="138" applyFont="1" applyFill="1" applyBorder="1">
      <alignment/>
      <protection/>
    </xf>
    <xf numFmtId="0" fontId="22" fillId="0" borderId="28" xfId="138" applyFont="1" applyFill="1" applyBorder="1">
      <alignment/>
      <protection/>
    </xf>
    <xf numFmtId="0" fontId="22" fillId="0" borderId="31" xfId="138" applyFont="1" applyBorder="1" applyAlignment="1">
      <alignment/>
      <protection/>
    </xf>
    <xf numFmtId="0" fontId="22" fillId="0" borderId="28" xfId="138" applyFont="1" applyBorder="1" applyAlignment="1">
      <alignment/>
      <protection/>
    </xf>
    <xf numFmtId="0" fontId="21" fillId="0" borderId="28" xfId="0" applyFont="1" applyBorder="1" applyAlignment="1">
      <alignment horizontal="left" vertical="center" wrapText="1"/>
    </xf>
    <xf numFmtId="0" fontId="21" fillId="0" borderId="24" xfId="138" applyFont="1" applyFill="1" applyBorder="1" applyAlignment="1">
      <alignment horizontal="left" vertical="center" wrapText="1"/>
      <protection/>
    </xf>
    <xf numFmtId="0" fontId="0" fillId="0" borderId="23" xfId="0" applyFill="1" applyBorder="1" applyAlignment="1">
      <alignment/>
    </xf>
    <xf numFmtId="0" fontId="21" fillId="0" borderId="20" xfId="0" applyFont="1" applyFill="1" applyBorder="1" applyAlignment="1">
      <alignment horizontal="left" wrapText="1"/>
    </xf>
    <xf numFmtId="4" fontId="21" fillId="0" borderId="20" xfId="91" applyNumberFormat="1" applyFont="1" applyBorder="1" applyAlignment="1">
      <alignment horizontal="left" vertical="center" wrapText="1"/>
      <protection/>
    </xf>
    <xf numFmtId="49" fontId="28" fillId="24" borderId="19" xfId="161" applyNumberFormat="1" applyFont="1" applyFill="1" applyBorder="1" applyAlignment="1">
      <alignment horizontal="left" vertical="center" wrapText="1"/>
      <protection/>
    </xf>
    <xf numFmtId="0" fontId="28" fillId="24" borderId="19" xfId="0" applyFont="1" applyFill="1" applyBorder="1" applyAlignment="1">
      <alignment vertical="center" wrapText="1"/>
    </xf>
    <xf numFmtId="0" fontId="28" fillId="0" borderId="19" xfId="0" applyFont="1" applyBorder="1" applyAlignment="1">
      <alignment horizontal="left" vertical="center" wrapText="1"/>
    </xf>
    <xf numFmtId="3" fontId="21" fillId="0" borderId="22" xfId="92" applyNumberFormat="1" applyFont="1" applyBorder="1" applyAlignment="1">
      <alignment horizontal="left" vertical="center"/>
      <protection/>
    </xf>
    <xf numFmtId="178" fontId="21" fillId="0" borderId="22" xfId="92" applyNumberFormat="1" applyFont="1" applyBorder="1" applyAlignment="1">
      <alignment horizontal="left" vertical="center" wrapText="1"/>
      <protection/>
    </xf>
    <xf numFmtId="0" fontId="28" fillId="0" borderId="29" xfId="0" applyFont="1" applyFill="1" applyBorder="1" applyAlignment="1">
      <alignment horizontal="left" vertical="center" wrapText="1"/>
    </xf>
    <xf numFmtId="0" fontId="21" fillId="0" borderId="22" xfId="92" applyFont="1" applyBorder="1" applyAlignment="1">
      <alignment horizontal="left" vertical="center" wrapText="1"/>
      <protection/>
    </xf>
    <xf numFmtId="4" fontId="21" fillId="0" borderId="29" xfId="0" applyNumberFormat="1" applyFont="1" applyFill="1" applyBorder="1" applyAlignment="1">
      <alignment horizontal="left" vertical="center" wrapText="1"/>
    </xf>
    <xf numFmtId="0" fontId="28" fillId="24" borderId="20" xfId="161" applyFont="1" applyFill="1" applyBorder="1" applyAlignment="1">
      <alignment horizontal="left" vertical="center" wrapText="1"/>
      <protection/>
    </xf>
    <xf numFmtId="49" fontId="21" fillId="0" borderId="20" xfId="0" applyNumberFormat="1" applyFont="1" applyFill="1" applyBorder="1" applyAlignment="1">
      <alignment horizontal="left" vertical="center" wrapText="1"/>
    </xf>
    <xf numFmtId="49" fontId="21" fillId="0" borderId="20" xfId="161" applyNumberFormat="1" applyFont="1" applyFill="1" applyBorder="1" applyAlignment="1">
      <alignment horizontal="left" vertical="center" wrapText="1"/>
      <protection/>
    </xf>
    <xf numFmtId="0" fontId="21" fillId="0" borderId="20" xfId="91" applyFont="1" applyFill="1" applyBorder="1" applyAlignment="1">
      <alignment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49" fontId="21" fillId="0" borderId="20" xfId="0" applyNumberFormat="1" applyFont="1" applyFill="1" applyBorder="1" applyAlignment="1">
      <alignment vertical="center" wrapText="1"/>
    </xf>
    <xf numFmtId="0" fontId="21" fillId="0" borderId="19" xfId="90" applyFont="1" applyFill="1" applyBorder="1" applyAlignment="1">
      <alignment vertical="center" wrapText="1"/>
      <protection/>
    </xf>
    <xf numFmtId="4" fontId="28" fillId="0" borderId="20" xfId="0" applyNumberFormat="1" applyFont="1" applyFill="1" applyBorder="1" applyAlignment="1">
      <alignment horizontal="left" vertical="center"/>
    </xf>
    <xf numFmtId="4" fontId="21" fillId="0" borderId="20" xfId="92" applyNumberFormat="1" applyFont="1" applyBorder="1" applyAlignment="1">
      <alignment horizontal="left" vertical="center" wrapText="1"/>
      <protection/>
    </xf>
    <xf numFmtId="0" fontId="21" fillId="24" borderId="22" xfId="0" applyFont="1" applyFill="1" applyBorder="1" applyAlignment="1">
      <alignment horizontal="left" vertical="center" wrapText="1"/>
    </xf>
    <xf numFmtId="0" fontId="21" fillId="24" borderId="25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1" fontId="21" fillId="0" borderId="20" xfId="0" applyNumberFormat="1" applyFont="1" applyFill="1" applyBorder="1" applyAlignment="1">
      <alignment vertical="center" wrapText="1"/>
    </xf>
    <xf numFmtId="1" fontId="21" fillId="0" borderId="20" xfId="92" applyNumberFormat="1" applyFont="1" applyFill="1" applyBorder="1" applyAlignment="1">
      <alignment vertical="center" wrapText="1"/>
      <protection/>
    </xf>
    <xf numFmtId="1" fontId="41" fillId="0" borderId="20" xfId="0" applyNumberFormat="1" applyFont="1" applyFill="1" applyBorder="1" applyAlignment="1">
      <alignment horizontal="left" vertical="center" wrapText="1"/>
    </xf>
    <xf numFmtId="3" fontId="41" fillId="0" borderId="20" xfId="0" applyNumberFormat="1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181" fontId="21" fillId="0" borderId="20" xfId="138" applyNumberFormat="1" applyFont="1" applyFill="1" applyBorder="1" applyAlignment="1">
      <alignment horizontal="left" vertical="center" wrapText="1"/>
      <protection/>
    </xf>
    <xf numFmtId="0" fontId="21" fillId="0" borderId="16" xfId="0" applyFont="1" applyFill="1" applyBorder="1" applyAlignment="1">
      <alignment horizontal="left" vertical="center" wrapText="1"/>
    </xf>
    <xf numFmtId="1" fontId="21" fillId="0" borderId="22" xfId="92" applyNumberFormat="1" applyFont="1" applyFill="1" applyBorder="1" applyAlignment="1">
      <alignment vertical="center" wrapText="1"/>
      <protection/>
    </xf>
    <xf numFmtId="4" fontId="21" fillId="0" borderId="22" xfId="181" applyNumberFormat="1" applyFont="1" applyBorder="1" applyAlignment="1">
      <alignment horizontal="left" vertical="center" wrapText="1"/>
    </xf>
    <xf numFmtId="4" fontId="28" fillId="0" borderId="22" xfId="0" applyNumberFormat="1" applyFont="1" applyFill="1" applyBorder="1" applyAlignment="1">
      <alignment horizontal="left" vertical="center" wrapText="1"/>
    </xf>
    <xf numFmtId="4" fontId="21" fillId="0" borderId="24" xfId="0" applyNumberFormat="1" applyFont="1" applyFill="1" applyBorder="1" applyAlignment="1">
      <alignment horizontal="left" vertical="center" wrapText="1"/>
    </xf>
    <xf numFmtId="4" fontId="28" fillId="0" borderId="19" xfId="0" applyNumberFormat="1" applyFont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1" fontId="21" fillId="0" borderId="24" xfId="0" applyNumberFormat="1" applyFont="1" applyFill="1" applyBorder="1" applyAlignment="1">
      <alignment horizontal="left" vertical="center" wrapText="1"/>
    </xf>
    <xf numFmtId="1" fontId="21" fillId="0" borderId="22" xfId="91" applyNumberFormat="1" applyFont="1" applyFill="1" applyBorder="1" applyAlignment="1">
      <alignment horizontal="lef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0" borderId="22" xfId="91" applyFont="1" applyBorder="1" applyAlignment="1">
      <alignment horizontal="left" vertical="center" wrapText="1"/>
      <protection/>
    </xf>
    <xf numFmtId="4" fontId="21" fillId="0" borderId="18" xfId="91" applyNumberFormat="1" applyFont="1" applyBorder="1" applyAlignment="1">
      <alignment horizontal="left" vertical="center"/>
      <protection/>
    </xf>
    <xf numFmtId="4" fontId="28" fillId="0" borderId="20" xfId="138" applyNumberFormat="1" applyFont="1" applyBorder="1" applyAlignment="1">
      <alignment horizontal="left" vertical="center" wrapText="1"/>
      <protection/>
    </xf>
    <xf numFmtId="4" fontId="21" fillId="0" borderId="20" xfId="92" applyNumberFormat="1" applyFont="1" applyBorder="1" applyAlignment="1">
      <alignment horizontal="left" vertical="center"/>
      <protection/>
    </xf>
    <xf numFmtId="4" fontId="21" fillId="0" borderId="16" xfId="0" applyNumberFormat="1" applyFont="1" applyFill="1" applyBorder="1" applyAlignment="1">
      <alignment horizontal="left" vertical="center" wrapText="1"/>
    </xf>
    <xf numFmtId="49" fontId="28" fillId="0" borderId="20" xfId="0" applyNumberFormat="1" applyFont="1" applyFill="1" applyBorder="1" applyAlignment="1">
      <alignment horizontal="justify" vertical="center" wrapText="1"/>
    </xf>
    <xf numFmtId="0" fontId="28" fillId="0" borderId="20" xfId="0" applyFont="1" applyFill="1" applyBorder="1" applyAlignment="1">
      <alignment horizontal="justify" vertical="center" wrapText="1"/>
    </xf>
    <xf numFmtId="188" fontId="41" fillId="0" borderId="20" xfId="91" applyNumberFormat="1" applyFont="1" applyFill="1" applyBorder="1" applyAlignment="1">
      <alignment horizontal="left" vertical="center" wrapText="1"/>
      <protection/>
    </xf>
    <xf numFmtId="181" fontId="21" fillId="0" borderId="24" xfId="0" applyNumberFormat="1" applyFont="1" applyFill="1" applyBorder="1" applyAlignment="1">
      <alignment horizontal="left" vertical="center" wrapText="1"/>
    </xf>
    <xf numFmtId="181" fontId="21" fillId="0" borderId="22" xfId="92" applyNumberFormat="1" applyFont="1" applyBorder="1" applyAlignment="1">
      <alignment horizontal="left" vertical="center" wrapText="1"/>
      <protection/>
    </xf>
    <xf numFmtId="3" fontId="21" fillId="0" borderId="20" xfId="92" applyNumberFormat="1" applyFont="1" applyBorder="1" applyAlignment="1">
      <alignment horizontal="left" vertical="center"/>
      <protection/>
    </xf>
    <xf numFmtId="3" fontId="21" fillId="0" borderId="20" xfId="91" applyNumberFormat="1" applyFont="1" applyBorder="1" applyAlignment="1">
      <alignment horizontal="left" vertical="center" wrapText="1"/>
      <protection/>
    </xf>
    <xf numFmtId="0" fontId="21" fillId="0" borderId="20" xfId="92" applyNumberFormat="1" applyFont="1" applyBorder="1" applyAlignment="1">
      <alignment horizontal="left" vertical="center" wrapText="1"/>
      <protection/>
    </xf>
    <xf numFmtId="3" fontId="21" fillId="0" borderId="22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/>
    </xf>
    <xf numFmtId="4" fontId="28" fillId="0" borderId="18" xfId="178" applyNumberFormat="1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1" fontId="41" fillId="0" borderId="20" xfId="91" applyNumberFormat="1" applyFont="1" applyFill="1" applyBorder="1" applyAlignment="1">
      <alignment horizontal="left" vertical="center" wrapText="1"/>
      <protection/>
    </xf>
    <xf numFmtId="4" fontId="28" fillId="0" borderId="20" xfId="181" applyNumberFormat="1" applyFont="1" applyBorder="1" applyAlignment="1">
      <alignment horizontal="left" vertical="center" wrapText="1"/>
    </xf>
    <xf numFmtId="49" fontId="21" fillId="0" borderId="22" xfId="0" applyNumberFormat="1" applyFont="1" applyFill="1" applyBorder="1" applyAlignment="1">
      <alignment horizontal="left" vertical="center" wrapText="1"/>
    </xf>
    <xf numFmtId="0" fontId="21" fillId="0" borderId="22" xfId="149" applyFont="1" applyFill="1" applyBorder="1" applyAlignment="1">
      <alignment horizontal="left" vertical="center" wrapText="1"/>
      <protection/>
    </xf>
    <xf numFmtId="0" fontId="41" fillId="0" borderId="22" xfId="91" applyFont="1" applyFill="1" applyBorder="1" applyAlignment="1">
      <alignment horizontal="left" wrapText="1"/>
      <protection/>
    </xf>
    <xf numFmtId="0" fontId="42" fillId="24" borderId="20" xfId="0" applyFont="1" applyFill="1" applyBorder="1" applyAlignment="1">
      <alignment vertical="center" wrapText="1"/>
    </xf>
    <xf numFmtId="181" fontId="21" fillId="0" borderId="20" xfId="0" applyNumberFormat="1" applyFont="1" applyBorder="1" applyAlignment="1">
      <alignment horizontal="left" vertical="center" wrapText="1"/>
    </xf>
    <xf numFmtId="0" fontId="21" fillId="0" borderId="19" xfId="90" applyFont="1" applyFill="1" applyBorder="1" applyAlignment="1">
      <alignment horizontal="left" vertical="center" wrapText="1"/>
      <protection/>
    </xf>
    <xf numFmtId="181" fontId="41" fillId="0" borderId="20" xfId="91" applyNumberFormat="1" applyFont="1" applyFill="1" applyBorder="1" applyAlignment="1">
      <alignment horizontal="left" vertical="center" wrapText="1"/>
      <protection/>
    </xf>
    <xf numFmtId="4" fontId="28" fillId="24" borderId="20" xfId="161" applyNumberFormat="1" applyFont="1" applyFill="1" applyBorder="1" applyAlignment="1">
      <alignment horizontal="left" vertical="center" wrapText="1"/>
      <protection/>
    </xf>
    <xf numFmtId="179" fontId="28" fillId="0" borderId="20" xfId="183" applyNumberFormat="1" applyFont="1" applyBorder="1" applyAlignment="1">
      <alignment horizontal="left" vertical="center"/>
    </xf>
    <xf numFmtId="178" fontId="21" fillId="0" borderId="20" xfId="92" applyNumberFormat="1" applyFont="1" applyBorder="1" applyAlignment="1">
      <alignment horizontal="left" vertical="center" wrapText="1"/>
      <protection/>
    </xf>
    <xf numFmtId="1" fontId="21" fillId="0" borderId="20" xfId="91" applyNumberFormat="1" applyFont="1" applyFill="1" applyBorder="1" applyAlignment="1">
      <alignment horizontal="left" vertical="center"/>
      <protection/>
    </xf>
    <xf numFmtId="49" fontId="21" fillId="0" borderId="20" xfId="91" applyNumberFormat="1" applyFont="1" applyFill="1" applyBorder="1" applyAlignment="1">
      <alignment horizontal="left" vertical="center" wrapText="1"/>
      <protection/>
    </xf>
    <xf numFmtId="49" fontId="28" fillId="0" borderId="20" xfId="161" applyNumberFormat="1" applyFont="1" applyFill="1" applyBorder="1" applyAlignment="1">
      <alignment horizontal="left" vertical="center" wrapText="1"/>
      <protection/>
    </xf>
    <xf numFmtId="178" fontId="21" fillId="0" borderId="20" xfId="91" applyNumberFormat="1" applyFont="1" applyBorder="1" applyAlignment="1">
      <alignment horizontal="left" vertical="center"/>
      <protection/>
    </xf>
    <xf numFmtId="4" fontId="28" fillId="24" borderId="22" xfId="161" applyNumberFormat="1" applyFont="1" applyFill="1" applyBorder="1" applyAlignment="1">
      <alignment horizontal="left" vertical="center" wrapText="1"/>
      <protection/>
    </xf>
    <xf numFmtId="4" fontId="28" fillId="24" borderId="19" xfId="161" applyNumberFormat="1" applyFont="1" applyFill="1" applyBorder="1" applyAlignment="1">
      <alignment horizontal="left" vertical="center" wrapText="1"/>
      <protection/>
    </xf>
    <xf numFmtId="181" fontId="21" fillId="0" borderId="20" xfId="91" applyNumberFormat="1" applyFont="1" applyFill="1" applyBorder="1" applyAlignment="1">
      <alignment horizontal="left" vertical="center" wrapText="1"/>
      <protection/>
    </xf>
    <xf numFmtId="178" fontId="21" fillId="0" borderId="20" xfId="92" applyNumberFormat="1" applyFont="1" applyFill="1" applyBorder="1" applyAlignment="1">
      <alignment horizontal="left" vertical="center" wrapText="1"/>
      <protection/>
    </xf>
    <xf numFmtId="0" fontId="21" fillId="0" borderId="20" xfId="92" applyNumberFormat="1" applyFont="1" applyFill="1" applyBorder="1" applyAlignment="1">
      <alignment horizontal="left" vertical="center" wrapText="1"/>
      <protection/>
    </xf>
    <xf numFmtId="178" fontId="21" fillId="0" borderId="22" xfId="92" applyNumberFormat="1" applyFont="1" applyFill="1" applyBorder="1" applyAlignment="1">
      <alignment horizontal="left" vertical="center" wrapText="1"/>
      <protection/>
    </xf>
    <xf numFmtId="4" fontId="21" fillId="0" borderId="20" xfId="92" applyNumberFormat="1" applyFont="1" applyFill="1" applyBorder="1" applyAlignment="1">
      <alignment horizontal="left" vertical="center" wrapText="1"/>
      <protection/>
    </xf>
    <xf numFmtId="4" fontId="21" fillId="0" borderId="20" xfId="92" applyNumberFormat="1" applyFont="1" applyFill="1" applyBorder="1" applyAlignment="1">
      <alignment horizontal="left" vertical="center"/>
      <protection/>
    </xf>
    <xf numFmtId="4" fontId="21" fillId="24" borderId="20" xfId="0" applyNumberFormat="1" applyFont="1" applyFill="1" applyBorder="1" applyAlignment="1">
      <alignment horizontal="left" vertical="center" wrapText="1"/>
    </xf>
    <xf numFmtId="4" fontId="21" fillId="24" borderId="21" xfId="0" applyNumberFormat="1" applyFont="1" applyFill="1" applyBorder="1" applyAlignment="1">
      <alignment horizontal="left" vertical="center" wrapText="1"/>
    </xf>
    <xf numFmtId="0" fontId="21" fillId="0" borderId="20" xfId="117" applyFont="1" applyBorder="1" applyAlignment="1" applyProtection="1">
      <alignment horizontal="left" vertical="center" wrapText="1"/>
      <protection/>
    </xf>
    <xf numFmtId="0" fontId="21" fillId="0" borderId="20" xfId="117" applyFont="1" applyFill="1" applyBorder="1" applyAlignment="1" applyProtection="1">
      <alignment horizontal="left" vertical="center" wrapText="1"/>
      <protection/>
    </xf>
    <xf numFmtId="0" fontId="21" fillId="0" borderId="20" xfId="92" applyFont="1" applyFill="1" applyBorder="1" applyAlignment="1">
      <alignment horizontal="left" vertical="center" wrapText="1"/>
      <protection/>
    </xf>
    <xf numFmtId="0" fontId="21" fillId="0" borderId="20" xfId="91" applyFont="1" applyFill="1" applyBorder="1" applyAlignment="1">
      <alignment horizontal="left" vertical="center" wrapText="1"/>
      <protection/>
    </xf>
    <xf numFmtId="4" fontId="21" fillId="0" borderId="20" xfId="91" applyNumberFormat="1" applyFont="1" applyFill="1" applyBorder="1" applyAlignment="1">
      <alignment horizontal="left" vertical="center" wrapText="1"/>
      <protection/>
    </xf>
    <xf numFmtId="3" fontId="21" fillId="0" borderId="20" xfId="91" applyNumberFormat="1" applyFont="1" applyFill="1" applyBorder="1" applyAlignment="1">
      <alignment horizontal="left" vertical="center"/>
      <protection/>
    </xf>
    <xf numFmtId="0" fontId="21" fillId="0" borderId="19" xfId="0" applyFont="1" applyBorder="1" applyAlignment="1">
      <alignment horizontal="left" vertical="center" wrapText="1"/>
    </xf>
    <xf numFmtId="0" fontId="21" fillId="24" borderId="20" xfId="93" applyFont="1" applyFill="1" applyBorder="1" applyAlignment="1">
      <alignment vertical="center" wrapText="1"/>
      <protection/>
    </xf>
    <xf numFmtId="0" fontId="21" fillId="0" borderId="20" xfId="93" applyFont="1" applyBorder="1" applyAlignment="1">
      <alignment vertical="center" wrapText="1"/>
      <protection/>
    </xf>
    <xf numFmtId="1" fontId="21" fillId="0" borderId="20" xfId="93" applyNumberFormat="1" applyFont="1" applyFill="1" applyBorder="1" applyAlignment="1">
      <alignment vertical="center" wrapText="1"/>
      <protection/>
    </xf>
    <xf numFmtId="17" fontId="21" fillId="0" borderId="20" xfId="91" applyNumberFormat="1" applyFont="1" applyFill="1" applyBorder="1" applyAlignment="1">
      <alignment horizontal="left" vertical="center" wrapText="1"/>
      <protection/>
    </xf>
    <xf numFmtId="0" fontId="28" fillId="24" borderId="22" xfId="0" applyFont="1" applyFill="1" applyBorder="1" applyAlignment="1">
      <alignment horizontal="left" vertical="center" wrapText="1"/>
    </xf>
    <xf numFmtId="49" fontId="28" fillId="0" borderId="23" xfId="161" applyNumberFormat="1" applyFont="1" applyFill="1" applyBorder="1" applyAlignment="1">
      <alignment horizontal="left" vertical="center" wrapText="1"/>
      <protection/>
    </xf>
    <xf numFmtId="4" fontId="28" fillId="0" borderId="20" xfId="161" applyNumberFormat="1" applyFont="1" applyFill="1" applyBorder="1" applyAlignment="1">
      <alignment horizontal="left" vertical="center" wrapText="1"/>
      <protection/>
    </xf>
    <xf numFmtId="0" fontId="21" fillId="0" borderId="20" xfId="92" applyFont="1" applyBorder="1" applyAlignment="1">
      <alignment wrapText="1"/>
      <protection/>
    </xf>
    <xf numFmtId="0" fontId="21" fillId="24" borderId="20" xfId="0" applyFont="1" applyFill="1" applyBorder="1" applyAlignment="1">
      <alignment vertical="center" wrapText="1"/>
    </xf>
    <xf numFmtId="0" fontId="21" fillId="0" borderId="20" xfId="161" applyFont="1" applyFill="1" applyBorder="1" applyAlignment="1">
      <alignment vertical="center" wrapText="1"/>
      <protection/>
    </xf>
    <xf numFmtId="0" fontId="43" fillId="0" borderId="20" xfId="0" applyFont="1" applyBorder="1" applyAlignment="1">
      <alignment horizontal="left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0" fontId="21" fillId="0" borderId="20" xfId="90" applyFont="1" applyFill="1" applyBorder="1" applyAlignment="1">
      <alignment horizontal="left" vertical="center" wrapText="1"/>
      <protection/>
    </xf>
    <xf numFmtId="0" fontId="21" fillId="24" borderId="20" xfId="93" applyFont="1" applyFill="1" applyBorder="1" applyAlignment="1">
      <alignment horizontal="left" vertical="center" wrapText="1"/>
      <protection/>
    </xf>
    <xf numFmtId="0" fontId="21" fillId="0" borderId="20" xfId="93" applyFont="1" applyBorder="1" applyAlignment="1">
      <alignment horizontal="left" vertical="center" wrapText="1"/>
      <protection/>
    </xf>
    <xf numFmtId="49" fontId="21" fillId="0" borderId="20" xfId="92" applyNumberFormat="1" applyFont="1" applyFill="1" applyBorder="1" applyAlignment="1">
      <alignment horizontal="left" vertical="center" wrapText="1"/>
      <protection/>
    </xf>
    <xf numFmtId="4" fontId="21" fillId="0" borderId="20" xfId="181" applyNumberFormat="1" applyFont="1" applyBorder="1" applyAlignment="1">
      <alignment horizontal="left" vertical="center"/>
    </xf>
    <xf numFmtId="49" fontId="21" fillId="0" borderId="20" xfId="161" applyNumberFormat="1" applyFont="1" applyFill="1" applyBorder="1" applyAlignment="1">
      <alignment vertical="center" wrapText="1"/>
      <protection/>
    </xf>
    <xf numFmtId="0" fontId="28" fillId="0" borderId="20" xfId="161" applyFont="1" applyFill="1" applyBorder="1" applyAlignment="1">
      <alignment vertical="center" wrapText="1"/>
      <protection/>
    </xf>
    <xf numFmtId="0" fontId="28" fillId="0" borderId="20" xfId="150" applyFont="1" applyFill="1" applyBorder="1" applyAlignment="1">
      <alignment vertical="center" wrapText="1"/>
      <protection/>
    </xf>
    <xf numFmtId="0" fontId="22" fillId="0" borderId="0" xfId="138" applyFont="1" applyAlignment="1">
      <alignment horizontal="left" wrapText="1"/>
      <protection/>
    </xf>
    <xf numFmtId="0" fontId="22" fillId="0" borderId="0" xfId="138" applyFont="1" applyFill="1" applyAlignment="1">
      <alignment horizontal="left" wrapText="1"/>
      <protection/>
    </xf>
    <xf numFmtId="0" fontId="22" fillId="0" borderId="0" xfId="138" applyFont="1" applyBorder="1" applyAlignment="1">
      <alignment horizontal="left" wrapText="1"/>
      <protection/>
    </xf>
    <xf numFmtId="0" fontId="22" fillId="0" borderId="0" xfId="138" applyFont="1" applyBorder="1" applyAlignment="1">
      <alignment wrapText="1"/>
      <protection/>
    </xf>
    <xf numFmtId="0" fontId="22" fillId="0" borderId="0" xfId="138" applyFont="1" applyAlignment="1">
      <alignment horizontal="left" vertical="center" wrapText="1"/>
      <protection/>
    </xf>
    <xf numFmtId="0" fontId="22" fillId="0" borderId="0" xfId="138" applyFont="1" applyFill="1" applyAlignment="1">
      <alignment horizontal="justify" vertical="justify" wrapText="1"/>
      <protection/>
    </xf>
    <xf numFmtId="0" fontId="24" fillId="0" borderId="0" xfId="138" applyFont="1" applyBorder="1" applyAlignment="1">
      <alignment horizontal="center"/>
      <protection/>
    </xf>
    <xf numFmtId="0" fontId="25" fillId="0" borderId="32" xfId="138" applyFont="1" applyFill="1" applyBorder="1" applyAlignment="1">
      <alignment horizontal="center" vertical="top" wrapText="1"/>
      <protection/>
    </xf>
    <xf numFmtId="0" fontId="25" fillId="0" borderId="33" xfId="138" applyFont="1" applyFill="1" applyBorder="1" applyAlignment="1">
      <alignment horizontal="center" vertical="top" wrapText="1"/>
      <protection/>
    </xf>
    <xf numFmtId="0" fontId="25" fillId="0" borderId="34" xfId="138" applyFont="1" applyBorder="1" applyAlignment="1">
      <alignment horizontal="center" vertical="top" wrapText="1"/>
      <protection/>
    </xf>
    <xf numFmtId="0" fontId="25" fillId="0" borderId="35" xfId="138" applyFont="1" applyBorder="1" applyAlignment="1">
      <alignment horizontal="center" vertical="top" wrapText="1"/>
      <protection/>
    </xf>
    <xf numFmtId="0" fontId="25" fillId="0" borderId="36" xfId="138" applyFont="1" applyBorder="1" applyAlignment="1">
      <alignment horizontal="center" vertical="top" wrapText="1"/>
      <protection/>
    </xf>
    <xf numFmtId="0" fontId="25" fillId="0" borderId="37" xfId="138" applyFont="1" applyBorder="1" applyAlignment="1">
      <alignment horizontal="center" vertical="top" wrapText="1"/>
      <protection/>
    </xf>
    <xf numFmtId="0" fontId="25" fillId="0" borderId="34" xfId="138" applyFont="1" applyFill="1" applyBorder="1" applyAlignment="1">
      <alignment horizontal="center" vertical="top" wrapText="1"/>
      <protection/>
    </xf>
    <xf numFmtId="0" fontId="25" fillId="0" borderId="38" xfId="138" applyFont="1" applyFill="1" applyBorder="1" applyAlignment="1">
      <alignment horizontal="center" vertical="top" wrapText="1"/>
      <protection/>
    </xf>
    <xf numFmtId="0" fontId="25" fillId="0" borderId="39" xfId="138" applyFont="1" applyFill="1" applyBorder="1" applyAlignment="1">
      <alignment horizontal="center" vertical="top" wrapText="1"/>
      <protection/>
    </xf>
    <xf numFmtId="0" fontId="25" fillId="0" borderId="32" xfId="138" applyFont="1" applyBorder="1" applyAlignment="1">
      <alignment horizontal="center" vertical="top" wrapText="1"/>
      <protection/>
    </xf>
    <xf numFmtId="0" fontId="25" fillId="0" borderId="33" xfId="138" applyFont="1" applyBorder="1" applyAlignment="1">
      <alignment horizontal="center" vertical="top" wrapText="1"/>
      <protection/>
    </xf>
    <xf numFmtId="0" fontId="25" fillId="0" borderId="39" xfId="138" applyFont="1" applyBorder="1" applyAlignment="1">
      <alignment horizontal="center" vertical="top" wrapText="1"/>
      <protection/>
    </xf>
    <xf numFmtId="0" fontId="25" fillId="0" borderId="40" xfId="138" applyFont="1" applyBorder="1" applyAlignment="1">
      <alignment horizontal="center" vertical="top" wrapText="1"/>
      <protection/>
    </xf>
    <xf numFmtId="0" fontId="25" fillId="0" borderId="41" xfId="138" applyFont="1" applyBorder="1" applyAlignment="1">
      <alignment horizontal="center" vertical="top" wrapText="1"/>
      <protection/>
    </xf>
    <xf numFmtId="0" fontId="25" fillId="0" borderId="42" xfId="138" applyFont="1" applyBorder="1" applyAlignment="1">
      <alignment horizontal="center" vertical="top" wrapText="1"/>
      <protection/>
    </xf>
    <xf numFmtId="0" fontId="26" fillId="0" borderId="26" xfId="138" applyFont="1" applyBorder="1" applyAlignment="1">
      <alignment horizontal="center" vertical="top" wrapText="1"/>
      <protection/>
    </xf>
    <xf numFmtId="0" fontId="26" fillId="0" borderId="11" xfId="138" applyFont="1" applyBorder="1" applyAlignment="1">
      <alignment horizontal="center" vertical="top" wrapText="1"/>
      <protection/>
    </xf>
    <xf numFmtId="0" fontId="26" fillId="0" borderId="27" xfId="138" applyFont="1" applyBorder="1" applyAlignment="1">
      <alignment horizontal="center" vertical="top" wrapText="1"/>
      <protection/>
    </xf>
    <xf numFmtId="4" fontId="25" fillId="0" borderId="32" xfId="138" applyNumberFormat="1" applyFont="1" applyFill="1" applyBorder="1" applyAlignment="1">
      <alignment horizontal="center" vertical="top" wrapText="1"/>
      <protection/>
    </xf>
    <xf numFmtId="4" fontId="25" fillId="0" borderId="33" xfId="138" applyNumberFormat="1" applyFont="1" applyFill="1" applyBorder="1" applyAlignment="1">
      <alignment horizontal="center" vertical="top" wrapText="1"/>
      <protection/>
    </xf>
  </cellXfs>
  <cellStyles count="1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 2" xfId="78"/>
    <cellStyle name="Comma_Sheet2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2" xfId="89"/>
    <cellStyle name="Normal_Sheet1" xfId="90"/>
    <cellStyle name="Normal_Sheet2" xfId="91"/>
    <cellStyle name="Normal_Sheet3" xfId="92"/>
    <cellStyle name="Normal_Внесение изм-й в ДПЗ (внутр)" xfId="93"/>
    <cellStyle name="Note" xfId="94"/>
    <cellStyle name="Output" xfId="95"/>
    <cellStyle name="Title" xfId="96"/>
    <cellStyle name="Total" xfId="97"/>
    <cellStyle name="Warning Text" xfId="98"/>
    <cellStyle name="Акцент1" xfId="99"/>
    <cellStyle name="Акцент1 2" xfId="100"/>
    <cellStyle name="Акцент2" xfId="101"/>
    <cellStyle name="Акцент2 2" xfId="102"/>
    <cellStyle name="Акцент3" xfId="103"/>
    <cellStyle name="Акцент3 2" xfId="104"/>
    <cellStyle name="Акцент4" xfId="105"/>
    <cellStyle name="Акцент4 2" xfId="106"/>
    <cellStyle name="Акцент5" xfId="107"/>
    <cellStyle name="Акцент5 2" xfId="108"/>
    <cellStyle name="Акцент6" xfId="109"/>
    <cellStyle name="Акцент6 2" xfId="110"/>
    <cellStyle name="Ввод " xfId="111"/>
    <cellStyle name="Ввод  2" xfId="112"/>
    <cellStyle name="Вывод" xfId="113"/>
    <cellStyle name="Вывод 2" xfId="114"/>
    <cellStyle name="Вычисление" xfId="115"/>
    <cellStyle name="Вычисление 2" xfId="116"/>
    <cellStyle name="Hyperlink" xfId="117"/>
    <cellStyle name="Currency" xfId="118"/>
    <cellStyle name="Currency [0]" xfId="119"/>
    <cellStyle name="Заголовок 1" xfId="120"/>
    <cellStyle name="Заголовок 1 2" xfId="121"/>
    <cellStyle name="Заголовок 2" xfId="122"/>
    <cellStyle name="Заголовок 2 2" xfId="123"/>
    <cellStyle name="Заголовок 3" xfId="124"/>
    <cellStyle name="Заголовок 3 2" xfId="125"/>
    <cellStyle name="Заголовок 4" xfId="126"/>
    <cellStyle name="Заголовок 4 2" xfId="127"/>
    <cellStyle name="Итог" xfId="128"/>
    <cellStyle name="Итог 2" xfId="129"/>
    <cellStyle name="Контрольная ячейка" xfId="130"/>
    <cellStyle name="Контрольная ячейка 2" xfId="131"/>
    <cellStyle name="Название" xfId="132"/>
    <cellStyle name="Название 2" xfId="133"/>
    <cellStyle name="Нейтральный" xfId="134"/>
    <cellStyle name="Нейтральный 2" xfId="135"/>
    <cellStyle name="Обычный 10" xfId="136"/>
    <cellStyle name="Обычный 11" xfId="137"/>
    <cellStyle name="Обычный 2" xfId="138"/>
    <cellStyle name="Обычный 2 2" xfId="139"/>
    <cellStyle name="Обычный 2 2 2" xfId="140"/>
    <cellStyle name="Обычный 2 2 3" xfId="141"/>
    <cellStyle name="Обычный 2 2 4" xfId="142"/>
    <cellStyle name="Обычный 2 2 5" xfId="143"/>
    <cellStyle name="Обычный 2 3" xfId="144"/>
    <cellStyle name="Обычный 2 4" xfId="145"/>
    <cellStyle name="Обычный 2 5" xfId="146"/>
    <cellStyle name="Обычный 2 6" xfId="147"/>
    <cellStyle name="Обычный 2 7" xfId="148"/>
    <cellStyle name="Обычный 2_Внесение изменений в план ГЗ 2012 юридическое сопровождение сделки" xfId="149"/>
    <cellStyle name="Обычный 3" xfId="150"/>
    <cellStyle name="Обычный 3 2" xfId="151"/>
    <cellStyle name="Обычный 3 3" xfId="152"/>
    <cellStyle name="Обычный 3 4" xfId="153"/>
    <cellStyle name="Обычный 3 5" xfId="154"/>
    <cellStyle name="Обычный 4" xfId="155"/>
    <cellStyle name="Обычный 5" xfId="156"/>
    <cellStyle name="Обычный 6" xfId="157"/>
    <cellStyle name="Обычный 7" xfId="158"/>
    <cellStyle name="Обычный 8" xfId="159"/>
    <cellStyle name="Обычный 9" xfId="160"/>
    <cellStyle name="Обычный_Лист1" xfId="161"/>
    <cellStyle name="Обычный_Лист2" xfId="162"/>
    <cellStyle name="Обычный_Лист3" xfId="163"/>
    <cellStyle name="Followed Hyperlink" xfId="164"/>
    <cellStyle name="Плохой" xfId="165"/>
    <cellStyle name="Плохой 2" xfId="166"/>
    <cellStyle name="Пояснение" xfId="167"/>
    <cellStyle name="Пояснение 2" xfId="168"/>
    <cellStyle name="Примечание" xfId="169"/>
    <cellStyle name="Примечание 2" xfId="170"/>
    <cellStyle name="Percent" xfId="171"/>
    <cellStyle name="Процентный 2" xfId="172"/>
    <cellStyle name="Связанная ячейка" xfId="173"/>
    <cellStyle name="Связанная ячейка 2" xfId="174"/>
    <cellStyle name="Стиль 1" xfId="175"/>
    <cellStyle name="Текст предупреждения" xfId="176"/>
    <cellStyle name="Текст предупреждения 2" xfId="177"/>
    <cellStyle name="Comma" xfId="178"/>
    <cellStyle name="Comma [0]" xfId="179"/>
    <cellStyle name="Финансовый 2" xfId="180"/>
    <cellStyle name="Финансовый 3 2" xfId="181"/>
    <cellStyle name="Финансовый 4" xfId="182"/>
    <cellStyle name="Финансовый 6" xfId="183"/>
    <cellStyle name="Хороший" xfId="184"/>
    <cellStyle name="Хороший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27.90.40.05.40.00.00.01.1" TargetMode="External" /><Relationship Id="rId2" Type="http://schemas.openxmlformats.org/officeDocument/2006/relationships/hyperlink" Target="http://www.google.kz/url?q=http://ru.wikipedia.org/wiki/%25D0%2592%25D0%25B5%25D0%25BB%25D0%25B8%25D0%25BA%25D0%25BE%25D0%25B1%25D1%2580%25D0%25B8%25D1%2582%25D0%25B0%25D0%25BD%25D0%25B8%25D1%258F&amp;sa=U&amp;ei=90T6Ua2ZIImB4ATFnYHgDw&amp;ved=0CB0QFjAA&amp;usg=AFQjCNFV0hZtdBLAd0xGIZEue_-RLkyceg" TargetMode="External" /><Relationship Id="rId3" Type="http://schemas.openxmlformats.org/officeDocument/2006/relationships/hyperlink" Target="http://enstru.skc.kz/ru/ntru/detail/?kpved=30.30.50.00.00.00.31.10.1" TargetMode="External" /><Relationship Id="rId4" Type="http://schemas.openxmlformats.org/officeDocument/2006/relationships/hyperlink" Target="http://enstru.skc.kz/ru/ntru/detail/?kpved=30.30.50.00.00.00.31.10.1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2"/>
  <sheetViews>
    <sheetView tabSelected="1" zoomScalePageLayoutView="0" workbookViewId="0" topLeftCell="O222">
      <selection activeCell="C227" sqref="C227:X227"/>
    </sheetView>
  </sheetViews>
  <sheetFormatPr defaultColWidth="9.140625" defaultRowHeight="12.75"/>
  <cols>
    <col min="2" max="2" width="14.28125" style="0" customWidth="1"/>
    <col min="3" max="3" width="11.57421875" style="0" customWidth="1"/>
    <col min="4" max="4" width="30.57421875" style="313" customWidth="1"/>
    <col min="5" max="5" width="27.8515625" style="241" customWidth="1"/>
    <col min="6" max="6" width="22.28125" style="314" customWidth="1"/>
    <col min="7" max="7" width="14.57421875" style="0" customWidth="1"/>
    <col min="8" max="8" width="15.28125" style="0" customWidth="1"/>
    <col min="9" max="9" width="18.8515625" style="0" customWidth="1"/>
    <col min="10" max="10" width="14.8515625" style="0" customWidth="1"/>
    <col min="11" max="11" width="15.00390625" style="0" customWidth="1"/>
    <col min="12" max="12" width="19.28125" style="0" customWidth="1"/>
    <col min="13" max="13" width="9.57421875" style="0" customWidth="1"/>
    <col min="14" max="14" width="15.421875" style="0" customWidth="1"/>
    <col min="15" max="16" width="16.7109375" style="0" customWidth="1"/>
    <col min="17" max="17" width="17.57421875" style="0" customWidth="1"/>
    <col min="18" max="18" width="17.421875" style="0" customWidth="1"/>
    <col min="19" max="19" width="13.57421875" style="0" customWidth="1"/>
    <col min="20" max="20" width="22.140625" style="0" customWidth="1"/>
    <col min="21" max="21" width="19.140625" style="43" customWidth="1"/>
    <col min="22" max="22" width="12.7109375" style="0" customWidth="1"/>
    <col min="23" max="23" width="12.8515625" style="0" customWidth="1"/>
    <col min="24" max="24" width="11.140625" style="0" customWidth="1"/>
  </cols>
  <sheetData>
    <row r="1" spans="4:6" ht="13.5" thickBot="1">
      <c r="D1" s="299"/>
      <c r="E1" s="300"/>
      <c r="F1" s="301"/>
    </row>
    <row r="2" spans="2:39" ht="16.5" thickBot="1">
      <c r="B2" s="1"/>
      <c r="C2" s="2" t="s">
        <v>212</v>
      </c>
      <c r="D2" s="302"/>
      <c r="E2" s="3"/>
      <c r="F2" s="303"/>
      <c r="G2" s="3"/>
      <c r="H2" s="3"/>
      <c r="I2" s="3"/>
      <c r="J2" s="3"/>
      <c r="K2" s="3"/>
      <c r="L2" s="3"/>
      <c r="M2" s="4"/>
      <c r="N2" s="5"/>
      <c r="O2" s="1"/>
      <c r="P2" s="1"/>
      <c r="Q2" s="1"/>
      <c r="R2" s="1"/>
      <c r="S2" s="1"/>
      <c r="T2" s="5"/>
      <c r="U2" s="44"/>
      <c r="V2" s="6"/>
      <c r="W2" s="6"/>
      <c r="X2" s="6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2.75">
      <c r="B3" s="1"/>
      <c r="C3" s="1"/>
      <c r="D3" s="304"/>
      <c r="E3" s="100"/>
      <c r="F3" s="30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4"/>
      <c r="V3" s="6"/>
      <c r="W3" s="6"/>
      <c r="X3" s="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2:39" ht="12.75">
      <c r="B4" s="465" t="s">
        <v>874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39" ht="12" customHeight="1">
      <c r="B5" s="80"/>
      <c r="C5" s="80"/>
      <c r="D5" s="306"/>
      <c r="E5" s="80"/>
      <c r="F5" s="307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 t="s">
        <v>882</v>
      </c>
      <c r="W5" s="80"/>
      <c r="X5" s="80"/>
      <c r="Y5" s="80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20.25" customHeight="1">
      <c r="A6" s="88" t="s">
        <v>611</v>
      </c>
      <c r="B6" s="89"/>
      <c r="C6" s="90"/>
      <c r="D6" s="308"/>
      <c r="E6" s="90"/>
      <c r="F6" s="309"/>
      <c r="G6" s="80"/>
      <c r="H6" s="80"/>
      <c r="I6" s="80"/>
      <c r="J6" s="80"/>
      <c r="K6" s="80"/>
      <c r="L6" s="80"/>
      <c r="M6" s="80"/>
      <c r="N6" s="80"/>
      <c r="O6" s="80"/>
      <c r="S6" s="80"/>
      <c r="T6" s="80" t="s">
        <v>1125</v>
      </c>
      <c r="U6" s="80"/>
      <c r="V6" s="80"/>
      <c r="W6" s="80"/>
      <c r="X6" s="80"/>
      <c r="Y6" s="80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9.5" customHeight="1">
      <c r="A7" s="88" t="s">
        <v>668</v>
      </c>
      <c r="B7" s="88"/>
      <c r="C7" s="88"/>
      <c r="D7" s="310"/>
      <c r="E7" s="311"/>
      <c r="F7" s="312"/>
      <c r="G7" s="80"/>
      <c r="H7" s="80"/>
      <c r="I7" s="80"/>
      <c r="J7" s="80"/>
      <c r="K7" s="80"/>
      <c r="L7" s="80"/>
      <c r="M7" s="80"/>
      <c r="N7" s="80"/>
      <c r="O7" s="80"/>
      <c r="S7" s="92" t="s">
        <v>881</v>
      </c>
      <c r="T7" s="167"/>
      <c r="U7" s="166">
        <v>41628</v>
      </c>
      <c r="V7" s="167"/>
      <c r="W7" s="167"/>
      <c r="X7" s="43"/>
      <c r="Y7" s="80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ht="24" customHeight="1" thickBot="1"/>
    <row r="9" spans="1:24" ht="13.5" thickBot="1">
      <c r="A9" s="475" t="s">
        <v>194</v>
      </c>
      <c r="B9" s="475" t="s">
        <v>204</v>
      </c>
      <c r="C9" s="468" t="s">
        <v>208</v>
      </c>
      <c r="D9" s="470" t="s">
        <v>205</v>
      </c>
      <c r="E9" s="475" t="s">
        <v>215</v>
      </c>
      <c r="F9" s="479" t="s">
        <v>209</v>
      </c>
      <c r="G9" s="477" t="s">
        <v>195</v>
      </c>
      <c r="H9" s="475" t="s">
        <v>213</v>
      </c>
      <c r="I9" s="475" t="s">
        <v>196</v>
      </c>
      <c r="J9" s="466" t="s">
        <v>197</v>
      </c>
      <c r="K9" s="466" t="s">
        <v>211</v>
      </c>
      <c r="L9" s="466" t="s">
        <v>207</v>
      </c>
      <c r="M9" s="466" t="s">
        <v>198</v>
      </c>
      <c r="N9" s="472" t="s">
        <v>199</v>
      </c>
      <c r="O9" s="473"/>
      <c r="P9" s="473"/>
      <c r="Q9" s="473"/>
      <c r="R9" s="474"/>
      <c r="S9" s="466" t="s">
        <v>200</v>
      </c>
      <c r="T9" s="466" t="s">
        <v>206</v>
      </c>
      <c r="U9" s="484" t="s">
        <v>201</v>
      </c>
      <c r="V9" s="466" t="s">
        <v>210</v>
      </c>
      <c r="W9" s="466" t="s">
        <v>214</v>
      </c>
      <c r="X9" s="466" t="s">
        <v>202</v>
      </c>
    </row>
    <row r="10" spans="1:24" ht="38.25" customHeight="1" thickBot="1">
      <c r="A10" s="476"/>
      <c r="B10" s="476"/>
      <c r="C10" s="469"/>
      <c r="D10" s="471"/>
      <c r="E10" s="476"/>
      <c r="F10" s="480"/>
      <c r="G10" s="478"/>
      <c r="H10" s="476"/>
      <c r="I10" s="476"/>
      <c r="J10" s="467"/>
      <c r="K10" s="467"/>
      <c r="L10" s="467"/>
      <c r="M10" s="467"/>
      <c r="N10" s="7" t="s">
        <v>176</v>
      </c>
      <c r="O10" s="7" t="s">
        <v>177</v>
      </c>
      <c r="P10" s="7" t="s">
        <v>178</v>
      </c>
      <c r="Q10" s="7" t="s">
        <v>179</v>
      </c>
      <c r="R10" s="7" t="s">
        <v>180</v>
      </c>
      <c r="S10" s="467"/>
      <c r="T10" s="467"/>
      <c r="U10" s="485"/>
      <c r="V10" s="467"/>
      <c r="W10" s="467"/>
      <c r="X10" s="467"/>
    </row>
    <row r="11" spans="1:24" ht="14.25" thickBot="1">
      <c r="A11" s="8">
        <v>1</v>
      </c>
      <c r="B11" s="9">
        <v>2</v>
      </c>
      <c r="C11" s="244">
        <v>3</v>
      </c>
      <c r="D11" s="9">
        <v>4</v>
      </c>
      <c r="E11" s="9">
        <v>5</v>
      </c>
      <c r="F11" s="9">
        <v>6</v>
      </c>
      <c r="G11" s="245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481">
        <v>14</v>
      </c>
      <c r="O11" s="482"/>
      <c r="P11" s="482"/>
      <c r="Q11" s="482"/>
      <c r="R11" s="483"/>
      <c r="S11" s="9">
        <v>15</v>
      </c>
      <c r="T11" s="9">
        <v>16</v>
      </c>
      <c r="U11" s="46">
        <v>17</v>
      </c>
      <c r="V11" s="9">
        <v>18</v>
      </c>
      <c r="W11" s="9">
        <v>19</v>
      </c>
      <c r="X11" s="9">
        <v>20</v>
      </c>
    </row>
    <row r="12" spans="1:24" ht="12.75">
      <c r="A12" s="10" t="s">
        <v>203</v>
      </c>
      <c r="B12" s="11"/>
      <c r="C12" s="11"/>
      <c r="D12" s="10"/>
      <c r="E12" s="11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45"/>
      <c r="V12" s="12"/>
      <c r="W12" s="12"/>
      <c r="X12" s="13"/>
    </row>
    <row r="13" spans="1:24" s="136" customFormat="1" ht="76.5">
      <c r="A13" s="157" t="s">
        <v>677</v>
      </c>
      <c r="B13" s="22" t="s">
        <v>422</v>
      </c>
      <c r="C13" s="249"/>
      <c r="D13" s="23" t="s">
        <v>169</v>
      </c>
      <c r="E13" s="157"/>
      <c r="F13" s="157"/>
      <c r="G13" s="221" t="s">
        <v>242</v>
      </c>
      <c r="H13" s="157">
        <v>0</v>
      </c>
      <c r="I13" s="157" t="s">
        <v>175</v>
      </c>
      <c r="J13" s="21" t="s">
        <v>174</v>
      </c>
      <c r="K13" s="23" t="s">
        <v>170</v>
      </c>
      <c r="L13" s="23" t="s">
        <v>171</v>
      </c>
      <c r="M13" s="23" t="s">
        <v>240</v>
      </c>
      <c r="N13" s="157"/>
      <c r="O13" s="157"/>
      <c r="P13" s="157"/>
      <c r="Q13" s="157"/>
      <c r="R13" s="157"/>
      <c r="S13" s="58">
        <v>81912350660</v>
      </c>
      <c r="T13" s="36"/>
      <c r="U13" s="58"/>
      <c r="V13" s="157"/>
      <c r="W13" s="157">
        <v>2012</v>
      </c>
      <c r="X13" s="157"/>
    </row>
    <row r="14" spans="1:24" s="136" customFormat="1" ht="76.5">
      <c r="A14" s="157" t="s">
        <v>678</v>
      </c>
      <c r="B14" s="22" t="s">
        <v>422</v>
      </c>
      <c r="C14" s="249"/>
      <c r="D14" s="23" t="s">
        <v>172</v>
      </c>
      <c r="E14" s="157"/>
      <c r="F14" s="157"/>
      <c r="G14" s="221" t="s">
        <v>242</v>
      </c>
      <c r="H14" s="157">
        <v>0</v>
      </c>
      <c r="I14" s="157" t="s">
        <v>175</v>
      </c>
      <c r="J14" s="21" t="s">
        <v>174</v>
      </c>
      <c r="K14" s="23" t="s">
        <v>170</v>
      </c>
      <c r="L14" s="23" t="s">
        <v>173</v>
      </c>
      <c r="M14" s="23" t="s">
        <v>240</v>
      </c>
      <c r="N14" s="157"/>
      <c r="O14" s="157"/>
      <c r="P14" s="157"/>
      <c r="Q14" s="157"/>
      <c r="R14" s="157"/>
      <c r="S14" s="58">
        <v>94483221245</v>
      </c>
      <c r="T14" s="36"/>
      <c r="U14" s="58"/>
      <c r="V14" s="157"/>
      <c r="W14" s="157">
        <v>2012</v>
      </c>
      <c r="X14" s="157"/>
    </row>
    <row r="15" spans="1:24" s="30" customFormat="1" ht="76.5" customHeight="1">
      <c r="A15" s="157" t="s">
        <v>679</v>
      </c>
      <c r="B15" s="22" t="s">
        <v>422</v>
      </c>
      <c r="C15" s="87"/>
      <c r="D15" s="21" t="s">
        <v>243</v>
      </c>
      <c r="E15" s="21" t="s">
        <v>243</v>
      </c>
      <c r="F15" s="21"/>
      <c r="G15" s="221" t="s">
        <v>242</v>
      </c>
      <c r="H15" s="22">
        <v>0</v>
      </c>
      <c r="I15" s="21" t="s">
        <v>181</v>
      </c>
      <c r="J15" s="23" t="s">
        <v>232</v>
      </c>
      <c r="K15" s="17" t="s">
        <v>170</v>
      </c>
      <c r="L15" s="24" t="s">
        <v>241</v>
      </c>
      <c r="M15" s="21" t="s">
        <v>240</v>
      </c>
      <c r="N15" s="37">
        <v>55693950</v>
      </c>
      <c r="O15" s="37">
        <v>55693950</v>
      </c>
      <c r="P15" s="37">
        <v>55693950</v>
      </c>
      <c r="Q15" s="37"/>
      <c r="R15" s="37"/>
      <c r="S15" s="19"/>
      <c r="T15" s="19">
        <v>167081850</v>
      </c>
      <c r="U15" s="18">
        <f aca="true" t="shared" si="0" ref="U15:U33">T15*1.12</f>
        <v>187131672.00000003</v>
      </c>
      <c r="V15" s="22"/>
      <c r="W15" s="20">
        <v>2012</v>
      </c>
      <c r="X15" s="22"/>
    </row>
    <row r="16" spans="1:24" ht="52.5" customHeight="1">
      <c r="A16" s="157" t="s">
        <v>680</v>
      </c>
      <c r="B16" s="22" t="s">
        <v>422</v>
      </c>
      <c r="C16" s="250" t="s">
        <v>426</v>
      </c>
      <c r="D16" s="15" t="s">
        <v>427</v>
      </c>
      <c r="E16" s="15" t="s">
        <v>428</v>
      </c>
      <c r="F16" s="14" t="s">
        <v>235</v>
      </c>
      <c r="G16" s="278" t="s">
        <v>242</v>
      </c>
      <c r="H16" s="22">
        <v>0</v>
      </c>
      <c r="I16" s="25" t="s">
        <v>238</v>
      </c>
      <c r="J16" s="21" t="s">
        <v>233</v>
      </c>
      <c r="K16" s="17" t="s">
        <v>170</v>
      </c>
      <c r="L16" s="21" t="s">
        <v>239</v>
      </c>
      <c r="M16" s="21" t="s">
        <v>240</v>
      </c>
      <c r="N16" s="22">
        <v>60</v>
      </c>
      <c r="O16" s="22">
        <v>60</v>
      </c>
      <c r="P16" s="22"/>
      <c r="Q16" s="22"/>
      <c r="R16" s="22"/>
      <c r="S16" s="19">
        <v>9405000</v>
      </c>
      <c r="T16" s="19">
        <v>1128600000</v>
      </c>
      <c r="U16" s="18">
        <f t="shared" si="0"/>
        <v>1264032000.0000002</v>
      </c>
      <c r="V16" s="22"/>
      <c r="W16" s="20">
        <v>2012</v>
      </c>
      <c r="X16" s="22"/>
    </row>
    <row r="17" spans="1:24" ht="59.25" customHeight="1">
      <c r="A17" s="157" t="s">
        <v>681</v>
      </c>
      <c r="B17" s="22" t="s">
        <v>422</v>
      </c>
      <c r="C17" s="250" t="s">
        <v>426</v>
      </c>
      <c r="D17" s="15" t="s">
        <v>427</v>
      </c>
      <c r="E17" s="15" t="s">
        <v>428</v>
      </c>
      <c r="F17" s="14" t="s">
        <v>236</v>
      </c>
      <c r="G17" s="278" t="s">
        <v>242</v>
      </c>
      <c r="H17" s="22">
        <v>0</v>
      </c>
      <c r="I17" s="25" t="s">
        <v>238</v>
      </c>
      <c r="J17" s="21" t="s">
        <v>233</v>
      </c>
      <c r="K17" s="17" t="s">
        <v>170</v>
      </c>
      <c r="L17" s="21" t="s">
        <v>239</v>
      </c>
      <c r="M17" s="21" t="s">
        <v>240</v>
      </c>
      <c r="N17" s="22">
        <v>386</v>
      </c>
      <c r="O17" s="22">
        <v>386</v>
      </c>
      <c r="P17" s="22"/>
      <c r="Q17" s="22"/>
      <c r="R17" s="22"/>
      <c r="S17" s="19">
        <v>923316</v>
      </c>
      <c r="T17" s="19">
        <v>712800000</v>
      </c>
      <c r="U17" s="18">
        <f t="shared" si="0"/>
        <v>798336000.0000001</v>
      </c>
      <c r="V17" s="22"/>
      <c r="W17" s="20">
        <v>2012</v>
      </c>
      <c r="X17" s="22"/>
    </row>
    <row r="18" spans="1:24" ht="55.5" customHeight="1">
      <c r="A18" s="157" t="s">
        <v>682</v>
      </c>
      <c r="B18" s="22" t="s">
        <v>422</v>
      </c>
      <c r="C18" s="394" t="s">
        <v>137</v>
      </c>
      <c r="D18" s="395" t="s">
        <v>138</v>
      </c>
      <c r="E18" s="395" t="s">
        <v>139</v>
      </c>
      <c r="F18" s="21" t="s">
        <v>237</v>
      </c>
      <c r="G18" s="278" t="s">
        <v>242</v>
      </c>
      <c r="H18" s="22">
        <v>0</v>
      </c>
      <c r="I18" s="25" t="s">
        <v>238</v>
      </c>
      <c r="J18" s="21" t="s">
        <v>233</v>
      </c>
      <c r="K18" s="17" t="s">
        <v>170</v>
      </c>
      <c r="L18" s="21" t="s">
        <v>239</v>
      </c>
      <c r="M18" s="21" t="s">
        <v>240</v>
      </c>
      <c r="N18" s="22">
        <v>2</v>
      </c>
      <c r="O18" s="22">
        <v>2</v>
      </c>
      <c r="P18" s="22"/>
      <c r="Q18" s="22"/>
      <c r="R18" s="22"/>
      <c r="S18" s="19">
        <v>237600000</v>
      </c>
      <c r="T18" s="19">
        <v>950400000</v>
      </c>
      <c r="U18" s="18">
        <f t="shared" si="0"/>
        <v>1064448000.0000001</v>
      </c>
      <c r="V18" s="22"/>
      <c r="W18" s="20">
        <v>2012</v>
      </c>
      <c r="X18" s="22"/>
    </row>
    <row r="19" spans="1:24" ht="132" customHeight="1">
      <c r="A19" s="157" t="s">
        <v>683</v>
      </c>
      <c r="B19" s="22" t="s">
        <v>422</v>
      </c>
      <c r="C19" s="251" t="s">
        <v>434</v>
      </c>
      <c r="D19" s="138" t="s">
        <v>435</v>
      </c>
      <c r="E19" s="138" t="s">
        <v>428</v>
      </c>
      <c r="F19" s="22" t="s">
        <v>433</v>
      </c>
      <c r="G19" s="278" t="s">
        <v>242</v>
      </c>
      <c r="H19" s="22">
        <v>0</v>
      </c>
      <c r="I19" s="21" t="s">
        <v>186</v>
      </c>
      <c r="J19" s="21" t="s">
        <v>217</v>
      </c>
      <c r="K19" s="17" t="s">
        <v>170</v>
      </c>
      <c r="L19" s="24" t="s">
        <v>230</v>
      </c>
      <c r="M19" s="21" t="s">
        <v>231</v>
      </c>
      <c r="N19" s="22">
        <v>6</v>
      </c>
      <c r="O19" s="22"/>
      <c r="P19" s="22"/>
      <c r="Q19" s="22"/>
      <c r="R19" s="22"/>
      <c r="S19" s="19">
        <v>4500000</v>
      </c>
      <c r="T19" s="19">
        <v>27000000</v>
      </c>
      <c r="U19" s="18">
        <f t="shared" si="0"/>
        <v>30240000.000000004</v>
      </c>
      <c r="V19" s="22"/>
      <c r="W19" s="20">
        <v>2012</v>
      </c>
      <c r="X19" s="22"/>
    </row>
    <row r="20" spans="1:24" ht="69.75" customHeight="1">
      <c r="A20" s="157" t="s">
        <v>684</v>
      </c>
      <c r="B20" s="22" t="s">
        <v>422</v>
      </c>
      <c r="C20" s="252" t="s">
        <v>429</v>
      </c>
      <c r="D20" s="139" t="s">
        <v>430</v>
      </c>
      <c r="E20" s="139" t="s">
        <v>431</v>
      </c>
      <c r="F20" s="42" t="s">
        <v>432</v>
      </c>
      <c r="G20" s="278" t="s">
        <v>242</v>
      </c>
      <c r="H20" s="22">
        <v>0</v>
      </c>
      <c r="I20" s="21" t="s">
        <v>186</v>
      </c>
      <c r="J20" s="21" t="s">
        <v>245</v>
      </c>
      <c r="K20" s="17" t="s">
        <v>170</v>
      </c>
      <c r="L20" s="21" t="s">
        <v>246</v>
      </c>
      <c r="M20" s="14" t="s">
        <v>224</v>
      </c>
      <c r="N20" s="22">
        <v>2</v>
      </c>
      <c r="O20" s="22">
        <v>2</v>
      </c>
      <c r="P20" s="22"/>
      <c r="Q20" s="22"/>
      <c r="R20" s="22"/>
      <c r="S20" s="19">
        <v>36000000</v>
      </c>
      <c r="T20" s="19">
        <v>144000000</v>
      </c>
      <c r="U20" s="18">
        <f t="shared" si="0"/>
        <v>161280000.00000003</v>
      </c>
      <c r="V20" s="22"/>
      <c r="W20" s="20">
        <v>2012</v>
      </c>
      <c r="X20" s="22"/>
    </row>
    <row r="21" spans="1:24" ht="76.5" customHeight="1">
      <c r="A21" s="157" t="s">
        <v>685</v>
      </c>
      <c r="B21" s="87" t="s">
        <v>422</v>
      </c>
      <c r="C21" s="220" t="s">
        <v>469</v>
      </c>
      <c r="D21" s="16" t="s">
        <v>226</v>
      </c>
      <c r="E21" s="17" t="s">
        <v>470</v>
      </c>
      <c r="F21" s="26" t="s">
        <v>225</v>
      </c>
      <c r="G21" s="278" t="s">
        <v>242</v>
      </c>
      <c r="H21" s="22">
        <v>0</v>
      </c>
      <c r="I21" s="21" t="s">
        <v>185</v>
      </c>
      <c r="J21" s="21" t="s">
        <v>244</v>
      </c>
      <c r="K21" s="17" t="s">
        <v>170</v>
      </c>
      <c r="L21" s="27" t="s">
        <v>227</v>
      </c>
      <c r="M21" s="14" t="s">
        <v>231</v>
      </c>
      <c r="N21" s="22">
        <v>1</v>
      </c>
      <c r="O21" s="22"/>
      <c r="P21" s="22"/>
      <c r="Q21" s="22"/>
      <c r="R21" s="22"/>
      <c r="S21" s="19">
        <f>T21/N21</f>
        <v>833610000</v>
      </c>
      <c r="T21" s="19">
        <v>833610000</v>
      </c>
      <c r="U21" s="18">
        <f t="shared" si="0"/>
        <v>933643200.0000001</v>
      </c>
      <c r="V21" s="22"/>
      <c r="W21" s="20">
        <v>2012</v>
      </c>
      <c r="X21" s="22"/>
    </row>
    <row r="22" spans="1:24" ht="129.75" customHeight="1">
      <c r="A22" s="157" t="s">
        <v>686</v>
      </c>
      <c r="B22" s="22" t="s">
        <v>422</v>
      </c>
      <c r="C22" s="220" t="s">
        <v>471</v>
      </c>
      <c r="D22" s="15" t="s">
        <v>473</v>
      </c>
      <c r="E22" s="15" t="s">
        <v>472</v>
      </c>
      <c r="F22" s="28" t="s">
        <v>228</v>
      </c>
      <c r="G22" s="278" t="s">
        <v>242</v>
      </c>
      <c r="H22" s="22">
        <v>0</v>
      </c>
      <c r="I22" s="21" t="s">
        <v>191</v>
      </c>
      <c r="J22" s="21" t="s">
        <v>229</v>
      </c>
      <c r="K22" s="17" t="s">
        <v>170</v>
      </c>
      <c r="L22" s="21" t="s">
        <v>218</v>
      </c>
      <c r="M22" s="14" t="s">
        <v>231</v>
      </c>
      <c r="N22" s="22">
        <v>1</v>
      </c>
      <c r="O22" s="22">
        <v>2</v>
      </c>
      <c r="P22" s="22"/>
      <c r="Q22" s="22"/>
      <c r="R22" s="22"/>
      <c r="S22" s="19">
        <v>51500000</v>
      </c>
      <c r="T22" s="19">
        <v>154500000</v>
      </c>
      <c r="U22" s="18">
        <f t="shared" si="0"/>
        <v>173040000.00000003</v>
      </c>
      <c r="V22" s="22"/>
      <c r="W22" s="20">
        <v>2012</v>
      </c>
      <c r="X22" s="22"/>
    </row>
    <row r="23" spans="1:24" ht="38.25">
      <c r="A23" s="157" t="s">
        <v>687</v>
      </c>
      <c r="B23" s="22" t="s">
        <v>422</v>
      </c>
      <c r="C23" s="87" t="s">
        <v>425</v>
      </c>
      <c r="D23" s="29" t="s">
        <v>219</v>
      </c>
      <c r="E23" s="29" t="s">
        <v>220</v>
      </c>
      <c r="F23" s="21" t="s">
        <v>221</v>
      </c>
      <c r="G23" s="278" t="s">
        <v>242</v>
      </c>
      <c r="H23" s="22">
        <v>0</v>
      </c>
      <c r="I23" s="21" t="s">
        <v>474</v>
      </c>
      <c r="J23" s="21" t="s">
        <v>216</v>
      </c>
      <c r="K23" s="17" t="s">
        <v>170</v>
      </c>
      <c r="L23" s="21" t="s">
        <v>218</v>
      </c>
      <c r="M23" s="14" t="s">
        <v>231</v>
      </c>
      <c r="N23" s="22">
        <v>9</v>
      </c>
      <c r="O23" s="22"/>
      <c r="P23" s="22"/>
      <c r="Q23" s="22"/>
      <c r="R23" s="22"/>
      <c r="S23" s="19">
        <v>33333333.333333332</v>
      </c>
      <c r="T23" s="19">
        <v>300000000</v>
      </c>
      <c r="U23" s="18">
        <f t="shared" si="0"/>
        <v>336000000.00000006</v>
      </c>
      <c r="V23" s="22"/>
      <c r="W23" s="20">
        <v>2012</v>
      </c>
      <c r="X23" s="22"/>
    </row>
    <row r="24" spans="1:24" ht="107.25" customHeight="1">
      <c r="A24" s="157" t="s">
        <v>688</v>
      </c>
      <c r="B24" s="22" t="s">
        <v>422</v>
      </c>
      <c r="C24" s="87" t="s">
        <v>423</v>
      </c>
      <c r="D24" s="29" t="s">
        <v>222</v>
      </c>
      <c r="E24" s="29" t="s">
        <v>223</v>
      </c>
      <c r="F24" s="21" t="s">
        <v>424</v>
      </c>
      <c r="G24" s="278" t="s">
        <v>242</v>
      </c>
      <c r="H24" s="22">
        <v>0</v>
      </c>
      <c r="I24" s="21" t="s">
        <v>474</v>
      </c>
      <c r="J24" s="21" t="s">
        <v>216</v>
      </c>
      <c r="K24" s="17" t="s">
        <v>170</v>
      </c>
      <c r="L24" s="21" t="s">
        <v>234</v>
      </c>
      <c r="M24" s="14" t="s">
        <v>224</v>
      </c>
      <c r="N24" s="22">
        <v>4</v>
      </c>
      <c r="O24" s="22"/>
      <c r="P24" s="22"/>
      <c r="Q24" s="22"/>
      <c r="R24" s="22"/>
      <c r="S24" s="19">
        <v>22000000</v>
      </c>
      <c r="T24" s="19">
        <v>88000000</v>
      </c>
      <c r="U24" s="18">
        <f t="shared" si="0"/>
        <v>98560000.00000001</v>
      </c>
      <c r="V24" s="22"/>
      <c r="W24" s="20">
        <v>2012</v>
      </c>
      <c r="X24" s="22"/>
    </row>
    <row r="25" spans="1:24" ht="107.25" customHeight="1">
      <c r="A25" s="157" t="s">
        <v>689</v>
      </c>
      <c r="B25" s="22" t="s">
        <v>422</v>
      </c>
      <c r="C25" s="253" t="s">
        <v>476</v>
      </c>
      <c r="D25" s="59" t="s">
        <v>477</v>
      </c>
      <c r="E25" s="59" t="s">
        <v>478</v>
      </c>
      <c r="F25" s="57" t="s">
        <v>479</v>
      </c>
      <c r="G25" s="278" t="s">
        <v>242</v>
      </c>
      <c r="H25" s="22">
        <v>0</v>
      </c>
      <c r="I25" s="21" t="s">
        <v>474</v>
      </c>
      <c r="J25" s="21" t="s">
        <v>216</v>
      </c>
      <c r="K25" s="23" t="s">
        <v>170</v>
      </c>
      <c r="L25" s="21" t="s">
        <v>234</v>
      </c>
      <c r="M25" s="60" t="s">
        <v>486</v>
      </c>
      <c r="N25" s="22">
        <v>500</v>
      </c>
      <c r="O25" s="22"/>
      <c r="P25" s="22"/>
      <c r="Q25" s="22"/>
      <c r="R25" s="22"/>
      <c r="S25" s="61">
        <v>16560</v>
      </c>
      <c r="T25" s="61">
        <v>8280000</v>
      </c>
      <c r="U25" s="58">
        <f t="shared" si="0"/>
        <v>9273600</v>
      </c>
      <c r="V25" s="22"/>
      <c r="W25" s="20">
        <v>2012</v>
      </c>
      <c r="X25" s="22"/>
    </row>
    <row r="26" spans="1:24" ht="107.25" customHeight="1">
      <c r="A26" s="157" t="s">
        <v>690</v>
      </c>
      <c r="B26" s="22" t="s">
        <v>422</v>
      </c>
      <c r="C26" s="253" t="s">
        <v>480</v>
      </c>
      <c r="D26" s="59" t="s">
        <v>481</v>
      </c>
      <c r="E26" s="59" t="s">
        <v>482</v>
      </c>
      <c r="F26" s="57" t="s">
        <v>483</v>
      </c>
      <c r="G26" s="278" t="s">
        <v>242</v>
      </c>
      <c r="H26" s="22">
        <v>0</v>
      </c>
      <c r="I26" s="21" t="s">
        <v>484</v>
      </c>
      <c r="J26" s="57" t="s">
        <v>485</v>
      </c>
      <c r="K26" s="23" t="s">
        <v>170</v>
      </c>
      <c r="L26" s="21" t="s">
        <v>234</v>
      </c>
      <c r="M26" s="60" t="s">
        <v>486</v>
      </c>
      <c r="N26" s="22">
        <v>1000</v>
      </c>
      <c r="O26" s="22"/>
      <c r="P26" s="22"/>
      <c r="Q26" s="22"/>
      <c r="R26" s="22"/>
      <c r="S26" s="19">
        <v>10570</v>
      </c>
      <c r="T26" s="19">
        <v>10570000</v>
      </c>
      <c r="U26" s="58">
        <f t="shared" si="0"/>
        <v>11838400.000000002</v>
      </c>
      <c r="V26" s="22"/>
      <c r="W26" s="20">
        <v>2012</v>
      </c>
      <c r="X26" s="22"/>
    </row>
    <row r="27" spans="1:24" ht="76.5">
      <c r="A27" s="157" t="s">
        <v>691</v>
      </c>
      <c r="B27" s="22" t="s">
        <v>422</v>
      </c>
      <c r="C27" s="220"/>
      <c r="D27" s="17" t="s">
        <v>465</v>
      </c>
      <c r="E27" s="17" t="s">
        <v>465</v>
      </c>
      <c r="F27" s="140"/>
      <c r="G27" s="278" t="s">
        <v>242</v>
      </c>
      <c r="H27" s="22">
        <v>0</v>
      </c>
      <c r="I27" s="21" t="s">
        <v>182</v>
      </c>
      <c r="J27" s="17" t="s">
        <v>233</v>
      </c>
      <c r="K27" s="17" t="s">
        <v>170</v>
      </c>
      <c r="L27" s="17" t="s">
        <v>466</v>
      </c>
      <c r="M27" s="15" t="s">
        <v>487</v>
      </c>
      <c r="N27" s="63">
        <v>40195840</v>
      </c>
      <c r="O27" s="63">
        <v>40195840</v>
      </c>
      <c r="P27" s="63">
        <v>40195840</v>
      </c>
      <c r="Q27" s="63"/>
      <c r="R27" s="63"/>
      <c r="S27" s="63"/>
      <c r="T27" s="32">
        <f>N27+O27+P27</f>
        <v>120587520</v>
      </c>
      <c r="U27" s="18">
        <f t="shared" si="0"/>
        <v>135058022.4</v>
      </c>
      <c r="V27" s="15"/>
      <c r="W27" s="20">
        <v>2012</v>
      </c>
      <c r="X27" s="15"/>
    </row>
    <row r="28" spans="1:24" ht="76.5">
      <c r="A28" s="157" t="s">
        <v>692</v>
      </c>
      <c r="B28" s="22" t="s">
        <v>422</v>
      </c>
      <c r="C28" s="220"/>
      <c r="D28" s="17" t="s">
        <v>675</v>
      </c>
      <c r="E28" s="17" t="s">
        <v>675</v>
      </c>
      <c r="F28" s="140"/>
      <c r="G28" s="278" t="s">
        <v>242</v>
      </c>
      <c r="H28" s="22">
        <v>0</v>
      </c>
      <c r="I28" s="21" t="s">
        <v>182</v>
      </c>
      <c r="J28" s="17" t="s">
        <v>233</v>
      </c>
      <c r="K28" s="17" t="s">
        <v>170</v>
      </c>
      <c r="L28" s="17" t="s">
        <v>466</v>
      </c>
      <c r="M28" s="15" t="s">
        <v>487</v>
      </c>
      <c r="N28" s="63">
        <v>62806000</v>
      </c>
      <c r="O28" s="63">
        <v>62806000</v>
      </c>
      <c r="P28" s="63">
        <v>62806000</v>
      </c>
      <c r="Q28" s="63"/>
      <c r="R28" s="63"/>
      <c r="S28" s="63"/>
      <c r="T28" s="32">
        <f aca="true" t="shared" si="1" ref="T28:T33">N28+O28+P28</f>
        <v>188418000</v>
      </c>
      <c r="U28" s="18">
        <f t="shared" si="0"/>
        <v>211028160.00000003</v>
      </c>
      <c r="V28" s="15"/>
      <c r="W28" s="20">
        <v>2012</v>
      </c>
      <c r="X28" s="15"/>
    </row>
    <row r="29" spans="1:24" ht="76.5">
      <c r="A29" s="157" t="s">
        <v>693</v>
      </c>
      <c r="B29" s="22" t="s">
        <v>422</v>
      </c>
      <c r="C29" s="220"/>
      <c r="D29" s="15" t="s">
        <v>467</v>
      </c>
      <c r="E29" s="15" t="s">
        <v>467</v>
      </c>
      <c r="F29" s="140"/>
      <c r="G29" s="278" t="s">
        <v>242</v>
      </c>
      <c r="H29" s="22">
        <v>0</v>
      </c>
      <c r="I29" s="21" t="s">
        <v>182</v>
      </c>
      <c r="J29" s="17" t="s">
        <v>233</v>
      </c>
      <c r="K29" s="17" t="s">
        <v>170</v>
      </c>
      <c r="L29" s="17" t="s">
        <v>466</v>
      </c>
      <c r="M29" s="15" t="s">
        <v>487</v>
      </c>
      <c r="N29" s="63">
        <v>33659490</v>
      </c>
      <c r="O29" s="63">
        <v>33659490</v>
      </c>
      <c r="P29" s="63">
        <v>33659490</v>
      </c>
      <c r="Q29" s="63"/>
      <c r="R29" s="63"/>
      <c r="S29" s="63"/>
      <c r="T29" s="32">
        <f t="shared" si="1"/>
        <v>100978470</v>
      </c>
      <c r="U29" s="18">
        <f t="shared" si="0"/>
        <v>113095886.4</v>
      </c>
      <c r="V29" s="15"/>
      <c r="W29" s="20">
        <v>2012</v>
      </c>
      <c r="X29" s="15"/>
    </row>
    <row r="30" spans="1:24" ht="76.5">
      <c r="A30" s="157" t="s">
        <v>694</v>
      </c>
      <c r="B30" s="22" t="s">
        <v>422</v>
      </c>
      <c r="C30" s="220"/>
      <c r="D30" s="15" t="s">
        <v>468</v>
      </c>
      <c r="E30" s="15" t="s">
        <v>468</v>
      </c>
      <c r="F30" s="140"/>
      <c r="G30" s="278" t="s">
        <v>242</v>
      </c>
      <c r="H30" s="22">
        <v>0</v>
      </c>
      <c r="I30" s="21" t="s">
        <v>182</v>
      </c>
      <c r="J30" s="17" t="s">
        <v>233</v>
      </c>
      <c r="K30" s="17" t="s">
        <v>170</v>
      </c>
      <c r="L30" s="17" t="s">
        <v>466</v>
      </c>
      <c r="M30" s="15" t="s">
        <v>487</v>
      </c>
      <c r="N30" s="63">
        <v>279757227</v>
      </c>
      <c r="O30" s="63">
        <v>279757227</v>
      </c>
      <c r="P30" s="63">
        <v>279757227</v>
      </c>
      <c r="Q30" s="63"/>
      <c r="R30" s="63"/>
      <c r="S30" s="63"/>
      <c r="T30" s="32">
        <f t="shared" si="1"/>
        <v>839271681</v>
      </c>
      <c r="U30" s="18">
        <f t="shared" si="0"/>
        <v>939984282.7200001</v>
      </c>
      <c r="V30" s="15"/>
      <c r="W30" s="20">
        <v>2012</v>
      </c>
      <c r="X30" s="15"/>
    </row>
    <row r="31" spans="1:24" ht="102">
      <c r="A31" s="157" t="s">
        <v>695</v>
      </c>
      <c r="B31" s="22" t="s">
        <v>422</v>
      </c>
      <c r="C31" s="220"/>
      <c r="D31" s="15" t="s">
        <v>436</v>
      </c>
      <c r="E31" s="15" t="s">
        <v>436</v>
      </c>
      <c r="F31" s="140"/>
      <c r="G31" s="278" t="s">
        <v>242</v>
      </c>
      <c r="H31" s="22">
        <v>0</v>
      </c>
      <c r="I31" s="21" t="s">
        <v>182</v>
      </c>
      <c r="J31" s="17" t="s">
        <v>233</v>
      </c>
      <c r="K31" s="17" t="s">
        <v>170</v>
      </c>
      <c r="L31" s="17" t="s">
        <v>466</v>
      </c>
      <c r="M31" s="15" t="s">
        <v>487</v>
      </c>
      <c r="N31" s="63">
        <v>987169167</v>
      </c>
      <c r="O31" s="63">
        <v>987169167</v>
      </c>
      <c r="P31" s="63">
        <v>987169167</v>
      </c>
      <c r="Q31" s="63"/>
      <c r="R31" s="63"/>
      <c r="S31" s="63"/>
      <c r="T31" s="32">
        <f t="shared" si="1"/>
        <v>2961507501</v>
      </c>
      <c r="U31" s="18">
        <f t="shared" si="0"/>
        <v>3316888401.1200004</v>
      </c>
      <c r="V31" s="15"/>
      <c r="W31" s="20">
        <v>2012</v>
      </c>
      <c r="X31" s="15"/>
    </row>
    <row r="32" spans="1:24" ht="76.5">
      <c r="A32" s="157" t="s">
        <v>696</v>
      </c>
      <c r="B32" s="22" t="s">
        <v>422</v>
      </c>
      <c r="C32" s="220"/>
      <c r="D32" s="15" t="s">
        <v>437</v>
      </c>
      <c r="E32" s="15" t="s">
        <v>437</v>
      </c>
      <c r="F32" s="140"/>
      <c r="G32" s="278" t="s">
        <v>242</v>
      </c>
      <c r="H32" s="22">
        <v>0</v>
      </c>
      <c r="I32" s="21" t="s">
        <v>182</v>
      </c>
      <c r="J32" s="17" t="s">
        <v>233</v>
      </c>
      <c r="K32" s="17" t="s">
        <v>170</v>
      </c>
      <c r="L32" s="17" t="s">
        <v>466</v>
      </c>
      <c r="M32" s="15" t="s">
        <v>487</v>
      </c>
      <c r="N32" s="63">
        <v>145431333</v>
      </c>
      <c r="O32" s="63">
        <v>145431333</v>
      </c>
      <c r="P32" s="63">
        <v>145431333</v>
      </c>
      <c r="Q32" s="63"/>
      <c r="R32" s="63"/>
      <c r="S32" s="63"/>
      <c r="T32" s="32">
        <f t="shared" si="1"/>
        <v>436293999</v>
      </c>
      <c r="U32" s="18">
        <f t="shared" si="0"/>
        <v>488649278.88000005</v>
      </c>
      <c r="V32" s="15"/>
      <c r="W32" s="20">
        <v>2012</v>
      </c>
      <c r="X32" s="15"/>
    </row>
    <row r="33" spans="1:24" ht="76.5">
      <c r="A33" s="157" t="s">
        <v>697</v>
      </c>
      <c r="B33" s="22" t="s">
        <v>422</v>
      </c>
      <c r="C33" s="220"/>
      <c r="D33" s="15" t="s">
        <v>447</v>
      </c>
      <c r="E33" s="15" t="s">
        <v>447</v>
      </c>
      <c r="F33" s="140"/>
      <c r="G33" s="278" t="s">
        <v>242</v>
      </c>
      <c r="H33" s="22">
        <v>0</v>
      </c>
      <c r="I33" s="21" t="s">
        <v>182</v>
      </c>
      <c r="J33" s="17" t="s">
        <v>233</v>
      </c>
      <c r="K33" s="17" t="s">
        <v>170</v>
      </c>
      <c r="L33" s="17" t="s">
        <v>466</v>
      </c>
      <c r="M33" s="15" t="s">
        <v>487</v>
      </c>
      <c r="N33" s="63">
        <v>80040760</v>
      </c>
      <c r="O33" s="63">
        <v>80040760</v>
      </c>
      <c r="P33" s="63">
        <v>80040760</v>
      </c>
      <c r="Q33" s="63"/>
      <c r="R33" s="63"/>
      <c r="S33" s="63"/>
      <c r="T33" s="32">
        <f t="shared" si="1"/>
        <v>240122280</v>
      </c>
      <c r="U33" s="18">
        <f t="shared" si="0"/>
        <v>268936953.6</v>
      </c>
      <c r="V33" s="15"/>
      <c r="W33" s="20">
        <v>2012</v>
      </c>
      <c r="X33" s="15"/>
    </row>
    <row r="34" spans="1:24" s="41" customFormat="1" ht="51" customHeight="1">
      <c r="A34" s="157" t="s">
        <v>698</v>
      </c>
      <c r="B34" s="22" t="s">
        <v>422</v>
      </c>
      <c r="C34" s="254" t="s">
        <v>140</v>
      </c>
      <c r="D34" s="14" t="s">
        <v>497</v>
      </c>
      <c r="E34" s="22" t="s">
        <v>141</v>
      </c>
      <c r="F34" s="22" t="s">
        <v>498</v>
      </c>
      <c r="G34" s="278" t="s">
        <v>257</v>
      </c>
      <c r="H34" s="22">
        <v>70</v>
      </c>
      <c r="I34" s="21"/>
      <c r="J34" s="23" t="s">
        <v>233</v>
      </c>
      <c r="K34" s="22"/>
      <c r="L34" s="22"/>
      <c r="M34" s="22"/>
      <c r="N34" s="62"/>
      <c r="O34" s="79">
        <v>2227500000</v>
      </c>
      <c r="P34" s="79">
        <v>3712500000</v>
      </c>
      <c r="Q34" s="79"/>
      <c r="R34" s="79"/>
      <c r="S34" s="62"/>
      <c r="T34" s="37">
        <f aca="true" t="shared" si="2" ref="T34:T44">SUM(N34:R34)</f>
        <v>5940000000</v>
      </c>
      <c r="U34" s="37">
        <f aca="true" t="shared" si="3" ref="U34:U55">T34*1.12</f>
        <v>6652800000.000001</v>
      </c>
      <c r="V34" s="22"/>
      <c r="W34" s="20">
        <v>2013</v>
      </c>
      <c r="X34" s="22"/>
    </row>
    <row r="35" spans="1:24" s="41" customFormat="1" ht="51" customHeight="1">
      <c r="A35" s="157" t="s">
        <v>699</v>
      </c>
      <c r="B35" s="22" t="s">
        <v>422</v>
      </c>
      <c r="C35" s="364" t="s">
        <v>26</v>
      </c>
      <c r="D35" s="364" t="s">
        <v>27</v>
      </c>
      <c r="E35" s="364" t="s">
        <v>28</v>
      </c>
      <c r="F35" s="22" t="s">
        <v>499</v>
      </c>
      <c r="G35" s="278" t="s">
        <v>257</v>
      </c>
      <c r="H35" s="22">
        <v>0</v>
      </c>
      <c r="I35" s="21"/>
      <c r="J35" s="23" t="s">
        <v>233</v>
      </c>
      <c r="K35" s="22"/>
      <c r="L35" s="22"/>
      <c r="M35" s="22"/>
      <c r="N35" s="62"/>
      <c r="O35" s="79">
        <v>148500000</v>
      </c>
      <c r="P35" s="79">
        <v>118800000</v>
      </c>
      <c r="Q35" s="79"/>
      <c r="R35" s="79"/>
      <c r="S35" s="62"/>
      <c r="T35" s="37">
        <f t="shared" si="2"/>
        <v>267300000</v>
      </c>
      <c r="U35" s="37">
        <f t="shared" si="3"/>
        <v>299376000</v>
      </c>
      <c r="V35" s="22"/>
      <c r="W35" s="20">
        <v>2013</v>
      </c>
      <c r="X35" s="22"/>
    </row>
    <row r="36" spans="1:24" s="41" customFormat="1" ht="51" customHeight="1">
      <c r="A36" s="157" t="s">
        <v>700</v>
      </c>
      <c r="B36" s="22" t="s">
        <v>422</v>
      </c>
      <c r="C36" s="255" t="s">
        <v>494</v>
      </c>
      <c r="D36" s="124" t="s">
        <v>495</v>
      </c>
      <c r="E36" s="124" t="s">
        <v>495</v>
      </c>
      <c r="F36" s="23" t="s">
        <v>496</v>
      </c>
      <c r="G36" s="278" t="s">
        <v>242</v>
      </c>
      <c r="H36" s="22">
        <v>0</v>
      </c>
      <c r="I36" s="21"/>
      <c r="J36" s="23" t="s">
        <v>233</v>
      </c>
      <c r="K36" s="22"/>
      <c r="L36" s="22"/>
      <c r="M36" s="22"/>
      <c r="N36" s="62"/>
      <c r="O36" s="62"/>
      <c r="P36" s="62">
        <v>44550000</v>
      </c>
      <c r="Q36" s="62">
        <v>7425000</v>
      </c>
      <c r="R36" s="62">
        <v>14850000</v>
      </c>
      <c r="S36" s="62"/>
      <c r="T36" s="37">
        <f t="shared" si="2"/>
        <v>66825000</v>
      </c>
      <c r="U36" s="37">
        <f t="shared" si="3"/>
        <v>74844000</v>
      </c>
      <c r="V36" s="22"/>
      <c r="W36" s="20">
        <v>2013</v>
      </c>
      <c r="X36" s="22"/>
    </row>
    <row r="37" spans="1:24" s="41" customFormat="1" ht="51" customHeight="1">
      <c r="A37" s="157" t="s">
        <v>701</v>
      </c>
      <c r="B37" s="22" t="s">
        <v>422</v>
      </c>
      <c r="C37" s="254" t="s">
        <v>500</v>
      </c>
      <c r="D37" s="23" t="s">
        <v>501</v>
      </c>
      <c r="E37" s="22" t="s">
        <v>502</v>
      </c>
      <c r="F37" s="22" t="s">
        <v>503</v>
      </c>
      <c r="G37" s="278" t="s">
        <v>242</v>
      </c>
      <c r="H37" s="22">
        <v>0</v>
      </c>
      <c r="I37" s="21"/>
      <c r="J37" s="23" t="s">
        <v>233</v>
      </c>
      <c r="K37" s="22"/>
      <c r="L37" s="22"/>
      <c r="M37" s="22"/>
      <c r="N37" s="62"/>
      <c r="O37" s="79">
        <v>386070300</v>
      </c>
      <c r="P37" s="79">
        <v>405373815</v>
      </c>
      <c r="Q37" s="79">
        <v>425642580</v>
      </c>
      <c r="R37" s="79">
        <v>446924560.5</v>
      </c>
      <c r="S37" s="62"/>
      <c r="T37" s="37">
        <f t="shared" si="2"/>
        <v>1664011255.5</v>
      </c>
      <c r="U37" s="37">
        <f t="shared" si="3"/>
        <v>1863692606.16</v>
      </c>
      <c r="V37" s="22"/>
      <c r="W37" s="20">
        <v>2013</v>
      </c>
      <c r="X37" s="22"/>
    </row>
    <row r="38" spans="1:24" s="41" customFormat="1" ht="57.75" customHeight="1">
      <c r="A38" s="157" t="s">
        <v>702</v>
      </c>
      <c r="B38" s="22" t="s">
        <v>422</v>
      </c>
      <c r="C38" s="255" t="s">
        <v>504</v>
      </c>
      <c r="D38" s="124" t="s">
        <v>505</v>
      </c>
      <c r="E38" s="22" t="s">
        <v>506</v>
      </c>
      <c r="F38" s="22"/>
      <c r="G38" s="278" t="s">
        <v>242</v>
      </c>
      <c r="H38" s="22">
        <v>0</v>
      </c>
      <c r="I38" s="21"/>
      <c r="J38" s="23" t="s">
        <v>233</v>
      </c>
      <c r="K38" s="22"/>
      <c r="L38" s="22"/>
      <c r="M38" s="22"/>
      <c r="N38" s="62"/>
      <c r="O38" s="79">
        <v>150653250</v>
      </c>
      <c r="P38" s="79">
        <v>169323412.5</v>
      </c>
      <c r="Q38" s="79">
        <v>158484546</v>
      </c>
      <c r="R38" s="79">
        <v>162696303</v>
      </c>
      <c r="S38" s="62"/>
      <c r="T38" s="37">
        <f t="shared" si="2"/>
        <v>641157511.5</v>
      </c>
      <c r="U38" s="37">
        <f t="shared" si="3"/>
        <v>718096412.8800001</v>
      </c>
      <c r="V38" s="22"/>
      <c r="W38" s="20">
        <v>2013</v>
      </c>
      <c r="X38" s="22"/>
    </row>
    <row r="39" spans="1:24" s="41" customFormat="1" ht="51" customHeight="1">
      <c r="A39" s="157" t="s">
        <v>703</v>
      </c>
      <c r="B39" s="22" t="s">
        <v>422</v>
      </c>
      <c r="C39" s="87"/>
      <c r="D39" s="22" t="s">
        <v>532</v>
      </c>
      <c r="E39" s="22"/>
      <c r="F39" s="22"/>
      <c r="G39" s="279"/>
      <c r="H39" s="130"/>
      <c r="I39" s="21"/>
      <c r="J39" s="23" t="s">
        <v>233</v>
      </c>
      <c r="K39" s="22"/>
      <c r="L39" s="22"/>
      <c r="M39" s="22"/>
      <c r="N39" s="62"/>
      <c r="O39" s="79">
        <v>161421971.16500002</v>
      </c>
      <c r="P39" s="79">
        <v>55382778</v>
      </c>
      <c r="Q39" s="79">
        <v>55637752.5</v>
      </c>
      <c r="R39" s="79">
        <v>52207360.23902812</v>
      </c>
      <c r="S39" s="62"/>
      <c r="T39" s="37">
        <f t="shared" si="2"/>
        <v>324649861.9040281</v>
      </c>
      <c r="U39" s="37">
        <f t="shared" si="3"/>
        <v>363607845.33251154</v>
      </c>
      <c r="V39" s="22"/>
      <c r="W39" s="20">
        <v>2013</v>
      </c>
      <c r="X39" s="22"/>
    </row>
    <row r="40" spans="1:24" s="41" customFormat="1" ht="51" customHeight="1">
      <c r="A40" s="157" t="s">
        <v>704</v>
      </c>
      <c r="B40" s="22" t="s">
        <v>422</v>
      </c>
      <c r="C40" s="87"/>
      <c r="D40" s="22" t="s">
        <v>507</v>
      </c>
      <c r="E40" s="22"/>
      <c r="F40" s="22"/>
      <c r="G40" s="279"/>
      <c r="H40" s="130"/>
      <c r="I40" s="21"/>
      <c r="J40" s="23" t="s">
        <v>233</v>
      </c>
      <c r="K40" s="22"/>
      <c r="L40" s="22"/>
      <c r="M40" s="22"/>
      <c r="N40" s="62"/>
      <c r="O40" s="79">
        <v>91775079</v>
      </c>
      <c r="P40" s="79">
        <v>100685079</v>
      </c>
      <c r="Q40" s="79">
        <v>87320079</v>
      </c>
      <c r="R40" s="79">
        <v>82865079</v>
      </c>
      <c r="S40" s="62"/>
      <c r="T40" s="37">
        <f t="shared" si="2"/>
        <v>362645316</v>
      </c>
      <c r="U40" s="37">
        <f t="shared" si="3"/>
        <v>406162753.92</v>
      </c>
      <c r="V40" s="22"/>
      <c r="W40" s="20">
        <v>2013</v>
      </c>
      <c r="X40" s="22"/>
    </row>
    <row r="41" spans="1:24" s="41" customFormat="1" ht="51" customHeight="1">
      <c r="A41" s="157" t="s">
        <v>705</v>
      </c>
      <c r="B41" s="22" t="s">
        <v>422</v>
      </c>
      <c r="C41" s="87"/>
      <c r="D41" s="85" t="s">
        <v>550</v>
      </c>
      <c r="E41" s="22"/>
      <c r="F41" s="22"/>
      <c r="G41" s="279"/>
      <c r="H41" s="130"/>
      <c r="I41" s="21"/>
      <c r="J41" s="23" t="s">
        <v>233</v>
      </c>
      <c r="K41" s="22"/>
      <c r="L41" s="22"/>
      <c r="M41" s="22"/>
      <c r="N41" s="62"/>
      <c r="O41" s="79">
        <v>911562795</v>
      </c>
      <c r="P41" s="79">
        <v>950026968</v>
      </c>
      <c r="Q41" s="79">
        <v>358820550</v>
      </c>
      <c r="R41" s="79">
        <v>375795436.5</v>
      </c>
      <c r="S41" s="62"/>
      <c r="T41" s="37">
        <f t="shared" si="2"/>
        <v>2596205749.5</v>
      </c>
      <c r="U41" s="37">
        <f t="shared" si="3"/>
        <v>2907750439.44</v>
      </c>
      <c r="V41" s="22"/>
      <c r="W41" s="20">
        <v>2013</v>
      </c>
      <c r="X41" s="22"/>
    </row>
    <row r="42" spans="1:24" s="41" customFormat="1" ht="51">
      <c r="A42" s="157" t="s">
        <v>706</v>
      </c>
      <c r="B42" s="22" t="s">
        <v>422</v>
      </c>
      <c r="C42" s="87"/>
      <c r="D42" s="22" t="s">
        <v>580</v>
      </c>
      <c r="E42" s="22"/>
      <c r="F42" s="22"/>
      <c r="G42" s="280"/>
      <c r="H42" s="130"/>
      <c r="I42" s="76"/>
      <c r="J42" s="21" t="s">
        <v>566</v>
      </c>
      <c r="K42" s="22"/>
      <c r="L42" s="24"/>
      <c r="M42" s="22"/>
      <c r="N42" s="37"/>
      <c r="O42" s="37">
        <v>5142884521.5</v>
      </c>
      <c r="P42" s="37">
        <v>57974201307</v>
      </c>
      <c r="Q42" s="37">
        <v>5928446254.5</v>
      </c>
      <c r="R42" s="37">
        <v>59519070715.5</v>
      </c>
      <c r="S42" s="37"/>
      <c r="T42" s="37">
        <f t="shared" si="2"/>
        <v>128564602798.5</v>
      </c>
      <c r="U42" s="37">
        <f t="shared" si="3"/>
        <v>143992355134.32</v>
      </c>
      <c r="V42" s="22"/>
      <c r="W42" s="22">
        <v>2013</v>
      </c>
      <c r="X42" s="141"/>
    </row>
    <row r="43" spans="1:24" s="41" customFormat="1" ht="76.5">
      <c r="A43" s="157" t="s">
        <v>707</v>
      </c>
      <c r="B43" s="22" t="s">
        <v>422</v>
      </c>
      <c r="C43" s="256" t="s">
        <v>594</v>
      </c>
      <c r="D43" s="122" t="s">
        <v>595</v>
      </c>
      <c r="E43" s="22" t="s">
        <v>596</v>
      </c>
      <c r="F43" s="22" t="s">
        <v>596</v>
      </c>
      <c r="G43" s="279"/>
      <c r="H43" s="130"/>
      <c r="I43" s="76"/>
      <c r="J43" s="21" t="s">
        <v>589</v>
      </c>
      <c r="K43" s="22"/>
      <c r="L43" s="22"/>
      <c r="M43" s="22"/>
      <c r="N43" s="37"/>
      <c r="O43" s="37">
        <v>77071500</v>
      </c>
      <c r="P43" s="37">
        <v>59756846</v>
      </c>
      <c r="Q43" s="37">
        <v>83819934</v>
      </c>
      <c r="R43" s="37">
        <v>67790696</v>
      </c>
      <c r="S43" s="37"/>
      <c r="T43" s="37">
        <f t="shared" si="2"/>
        <v>288438976</v>
      </c>
      <c r="U43" s="37">
        <f t="shared" si="3"/>
        <v>323051653.12</v>
      </c>
      <c r="V43" s="22"/>
      <c r="W43" s="22">
        <v>2013</v>
      </c>
      <c r="X43" s="141"/>
    </row>
    <row r="44" spans="1:24" s="41" customFormat="1" ht="51" customHeight="1">
      <c r="A44" s="157" t="s">
        <v>708</v>
      </c>
      <c r="B44" s="22" t="s">
        <v>422</v>
      </c>
      <c r="C44" s="87"/>
      <c r="D44" s="22" t="s">
        <v>435</v>
      </c>
      <c r="E44" s="22" t="s">
        <v>508</v>
      </c>
      <c r="F44" s="22"/>
      <c r="G44" s="279"/>
      <c r="H44" s="130"/>
      <c r="I44" s="21"/>
      <c r="J44" s="23" t="s">
        <v>233</v>
      </c>
      <c r="K44" s="22"/>
      <c r="L44" s="22"/>
      <c r="M44" s="22"/>
      <c r="N44" s="62"/>
      <c r="O44" s="79">
        <v>111956229</v>
      </c>
      <c r="P44" s="79">
        <v>556174377</v>
      </c>
      <c r="Q44" s="79">
        <v>105443464.5</v>
      </c>
      <c r="R44" s="79">
        <v>103019053.5</v>
      </c>
      <c r="S44" s="62"/>
      <c r="T44" s="37">
        <f t="shared" si="2"/>
        <v>876593124</v>
      </c>
      <c r="U44" s="37">
        <f t="shared" si="3"/>
        <v>981784298.8800001</v>
      </c>
      <c r="V44" s="22"/>
      <c r="W44" s="20">
        <v>2013</v>
      </c>
      <c r="X44" s="22"/>
    </row>
    <row r="45" spans="1:24" s="41" customFormat="1" ht="76.5">
      <c r="A45" s="157" t="s">
        <v>709</v>
      </c>
      <c r="B45" s="22" t="s">
        <v>422</v>
      </c>
      <c r="C45" s="87"/>
      <c r="D45" s="22" t="s">
        <v>610</v>
      </c>
      <c r="E45" s="22"/>
      <c r="F45" s="141"/>
      <c r="G45" s="279"/>
      <c r="H45" s="130"/>
      <c r="I45" s="76"/>
      <c r="J45" s="21" t="s">
        <v>589</v>
      </c>
      <c r="K45" s="22"/>
      <c r="L45" s="21"/>
      <c r="M45" s="22"/>
      <c r="N45" s="416"/>
      <c r="O45" s="416">
        <v>445281360</v>
      </c>
      <c r="P45" s="416">
        <v>477654360</v>
      </c>
      <c r="Q45" s="416">
        <v>505150240</v>
      </c>
      <c r="R45" s="416">
        <v>521532000</v>
      </c>
      <c r="T45" s="37">
        <v>1949617960</v>
      </c>
      <c r="U45" s="37">
        <f t="shared" si="3"/>
        <v>2183572115.2000003</v>
      </c>
      <c r="V45" s="22"/>
      <c r="W45" s="22">
        <v>2013</v>
      </c>
      <c r="X45" s="22" t="s">
        <v>378</v>
      </c>
    </row>
    <row r="46" spans="1:24" s="41" customFormat="1" ht="60">
      <c r="A46" s="157" t="s">
        <v>891</v>
      </c>
      <c r="B46" s="22" t="s">
        <v>422</v>
      </c>
      <c r="C46" s="257" t="s">
        <v>887</v>
      </c>
      <c r="D46" s="171" t="s">
        <v>888</v>
      </c>
      <c r="E46" s="170" t="s">
        <v>889</v>
      </c>
      <c r="F46" s="168" t="s">
        <v>890</v>
      </c>
      <c r="G46" s="281" t="s">
        <v>242</v>
      </c>
      <c r="H46" s="22">
        <v>0</v>
      </c>
      <c r="I46" s="172" t="s">
        <v>893</v>
      </c>
      <c r="J46" s="172" t="s">
        <v>894</v>
      </c>
      <c r="K46" s="17" t="s">
        <v>170</v>
      </c>
      <c r="L46" s="173" t="s">
        <v>418</v>
      </c>
      <c r="M46" s="15" t="s">
        <v>487</v>
      </c>
      <c r="N46" s="174">
        <v>2</v>
      </c>
      <c r="O46" s="174">
        <v>3</v>
      </c>
      <c r="P46" s="81"/>
      <c r="Q46" s="81"/>
      <c r="R46" s="81"/>
      <c r="S46" s="37">
        <v>11540930</v>
      </c>
      <c r="T46" s="37">
        <f>S46*5</f>
        <v>57704650</v>
      </c>
      <c r="U46" s="37">
        <f t="shared" si="3"/>
        <v>64629208.00000001</v>
      </c>
      <c r="V46" s="22"/>
      <c r="W46" s="22">
        <v>2013</v>
      </c>
      <c r="X46" s="82"/>
    </row>
    <row r="47" spans="1:24" s="41" customFormat="1" ht="60">
      <c r="A47" s="157" t="s">
        <v>892</v>
      </c>
      <c r="B47" s="22" t="s">
        <v>422</v>
      </c>
      <c r="C47" s="257" t="s">
        <v>887</v>
      </c>
      <c r="D47" s="171" t="s">
        <v>888</v>
      </c>
      <c r="E47" s="170" t="s">
        <v>889</v>
      </c>
      <c r="F47" s="168" t="s">
        <v>890</v>
      </c>
      <c r="G47" s="281" t="s">
        <v>242</v>
      </c>
      <c r="H47" s="22">
        <v>0</v>
      </c>
      <c r="I47" s="172" t="s">
        <v>893</v>
      </c>
      <c r="J47" s="172" t="s">
        <v>894</v>
      </c>
      <c r="K47" s="17" t="s">
        <v>170</v>
      </c>
      <c r="L47" s="173" t="s">
        <v>418</v>
      </c>
      <c r="M47" s="15" t="s">
        <v>487</v>
      </c>
      <c r="N47" s="174">
        <v>2</v>
      </c>
      <c r="O47" s="174">
        <v>1</v>
      </c>
      <c r="P47" s="81"/>
      <c r="Q47" s="81"/>
      <c r="R47" s="81"/>
      <c r="S47" s="37">
        <v>12080000</v>
      </c>
      <c r="T47" s="37">
        <f>S47*3</f>
        <v>36240000</v>
      </c>
      <c r="U47" s="37">
        <f t="shared" si="3"/>
        <v>40588800.00000001</v>
      </c>
      <c r="V47" s="22"/>
      <c r="W47" s="22">
        <v>2013</v>
      </c>
      <c r="X47" s="82"/>
    </row>
    <row r="48" spans="1:24" s="41" customFormat="1" ht="102">
      <c r="A48" s="157" t="s">
        <v>945</v>
      </c>
      <c r="B48" s="22" t="s">
        <v>422</v>
      </c>
      <c r="C48" s="365" t="s">
        <v>23</v>
      </c>
      <c r="D48" s="366" t="s">
        <v>24</v>
      </c>
      <c r="E48" s="366" t="s">
        <v>25</v>
      </c>
      <c r="F48" s="216" t="s">
        <v>948</v>
      </c>
      <c r="G48" s="281" t="s">
        <v>257</v>
      </c>
      <c r="H48" s="22">
        <v>0</v>
      </c>
      <c r="I48" s="172" t="s">
        <v>922</v>
      </c>
      <c r="J48" s="172" t="s">
        <v>894</v>
      </c>
      <c r="K48" s="17" t="s">
        <v>949</v>
      </c>
      <c r="L48" s="173" t="s">
        <v>950</v>
      </c>
      <c r="M48" s="15" t="s">
        <v>487</v>
      </c>
      <c r="N48" s="174"/>
      <c r="O48" s="174">
        <v>1</v>
      </c>
      <c r="P48" s="81"/>
      <c r="Q48" s="81"/>
      <c r="R48" s="81"/>
      <c r="S48" s="37">
        <v>21427200</v>
      </c>
      <c r="T48" s="37">
        <f>S48*O48</f>
        <v>21427200</v>
      </c>
      <c r="U48" s="37">
        <f t="shared" si="3"/>
        <v>23998464.000000004</v>
      </c>
      <c r="V48" s="22"/>
      <c r="W48" s="22">
        <v>2013</v>
      </c>
      <c r="X48" s="82"/>
    </row>
    <row r="49" spans="1:24" s="41" customFormat="1" ht="102">
      <c r="A49" s="157" t="s">
        <v>946</v>
      </c>
      <c r="B49" s="22" t="s">
        <v>422</v>
      </c>
      <c r="C49" s="365" t="s">
        <v>23</v>
      </c>
      <c r="D49" s="366" t="s">
        <v>24</v>
      </c>
      <c r="E49" s="366" t="s">
        <v>25</v>
      </c>
      <c r="F49" s="216" t="s">
        <v>948</v>
      </c>
      <c r="G49" s="281" t="s">
        <v>257</v>
      </c>
      <c r="H49" s="22">
        <v>0</v>
      </c>
      <c r="I49" s="172" t="s">
        <v>922</v>
      </c>
      <c r="J49" s="172" t="s">
        <v>894</v>
      </c>
      <c r="K49" s="17" t="s">
        <v>949</v>
      </c>
      <c r="L49" s="173" t="s">
        <v>950</v>
      </c>
      <c r="M49" s="15" t="s">
        <v>487</v>
      </c>
      <c r="N49" s="174">
        <v>1</v>
      </c>
      <c r="O49" s="174">
        <v>2</v>
      </c>
      <c r="P49" s="81"/>
      <c r="Q49" s="81"/>
      <c r="R49" s="81"/>
      <c r="S49" s="37">
        <v>21427200</v>
      </c>
      <c r="T49" s="37">
        <f>S49*3</f>
        <v>64281600</v>
      </c>
      <c r="U49" s="37">
        <f t="shared" si="3"/>
        <v>71995392</v>
      </c>
      <c r="V49" s="22"/>
      <c r="W49" s="22">
        <v>2013</v>
      </c>
      <c r="X49" s="82"/>
    </row>
    <row r="50" spans="1:24" s="41" customFormat="1" ht="102">
      <c r="A50" s="157" t="s">
        <v>947</v>
      </c>
      <c r="B50" s="22" t="s">
        <v>422</v>
      </c>
      <c r="C50" s="365" t="s">
        <v>23</v>
      </c>
      <c r="D50" s="366" t="s">
        <v>24</v>
      </c>
      <c r="E50" s="366" t="s">
        <v>25</v>
      </c>
      <c r="F50" s="216" t="s">
        <v>948</v>
      </c>
      <c r="G50" s="281" t="s">
        <v>257</v>
      </c>
      <c r="H50" s="22">
        <v>0</v>
      </c>
      <c r="I50" s="172" t="s">
        <v>922</v>
      </c>
      <c r="J50" s="172" t="s">
        <v>894</v>
      </c>
      <c r="K50" s="17" t="s">
        <v>949</v>
      </c>
      <c r="L50" s="173" t="s">
        <v>950</v>
      </c>
      <c r="M50" s="15" t="s">
        <v>487</v>
      </c>
      <c r="N50" s="174"/>
      <c r="O50" s="174">
        <v>2</v>
      </c>
      <c r="P50" s="81"/>
      <c r="Q50" s="81"/>
      <c r="R50" s="81"/>
      <c r="S50" s="37">
        <v>39408750</v>
      </c>
      <c r="T50" s="37">
        <f>S50*2</f>
        <v>78817500</v>
      </c>
      <c r="U50" s="37">
        <f t="shared" si="3"/>
        <v>88275600.00000001</v>
      </c>
      <c r="V50" s="22"/>
      <c r="W50" s="22">
        <v>2013</v>
      </c>
      <c r="X50" s="82"/>
    </row>
    <row r="51" spans="1:24" s="41" customFormat="1" ht="76.5">
      <c r="A51" s="157" t="s">
        <v>364</v>
      </c>
      <c r="B51" s="22" t="s">
        <v>422</v>
      </c>
      <c r="C51" s="361" t="s">
        <v>23</v>
      </c>
      <c r="D51" s="413" t="s">
        <v>24</v>
      </c>
      <c r="E51" s="413" t="s">
        <v>25</v>
      </c>
      <c r="F51" s="15" t="s">
        <v>366</v>
      </c>
      <c r="G51" s="281" t="s">
        <v>242</v>
      </c>
      <c r="H51" s="22">
        <v>0</v>
      </c>
      <c r="I51" s="414">
        <v>41518</v>
      </c>
      <c r="J51" s="172" t="s">
        <v>894</v>
      </c>
      <c r="K51" s="17" t="s">
        <v>170</v>
      </c>
      <c r="L51" s="173" t="s">
        <v>950</v>
      </c>
      <c r="M51" s="15" t="s">
        <v>487</v>
      </c>
      <c r="N51" s="174"/>
      <c r="O51" s="174">
        <v>1</v>
      </c>
      <c r="P51" s="81"/>
      <c r="Q51" s="81"/>
      <c r="R51" s="81"/>
      <c r="S51" s="37">
        <f>T51/O51</f>
        <v>65100000</v>
      </c>
      <c r="T51" s="37">
        <v>65100000</v>
      </c>
      <c r="U51" s="37">
        <f>T51*1.12</f>
        <v>72912000</v>
      </c>
      <c r="V51" s="22"/>
      <c r="W51" s="22">
        <v>2013</v>
      </c>
      <c r="X51" s="82"/>
    </row>
    <row r="52" spans="1:24" s="41" customFormat="1" ht="76.5">
      <c r="A52" s="157" t="s">
        <v>365</v>
      </c>
      <c r="B52" s="22" t="s">
        <v>422</v>
      </c>
      <c r="C52" s="361" t="s">
        <v>23</v>
      </c>
      <c r="D52" s="413" t="s">
        <v>24</v>
      </c>
      <c r="E52" s="413" t="s">
        <v>25</v>
      </c>
      <c r="F52" s="15" t="s">
        <v>367</v>
      </c>
      <c r="G52" s="281" t="s">
        <v>242</v>
      </c>
      <c r="H52" s="22">
        <v>0</v>
      </c>
      <c r="I52" s="414">
        <v>41518</v>
      </c>
      <c r="J52" s="172" t="s">
        <v>894</v>
      </c>
      <c r="K52" s="17" t="s">
        <v>170</v>
      </c>
      <c r="L52" s="173" t="s">
        <v>950</v>
      </c>
      <c r="M52" s="15" t="s">
        <v>487</v>
      </c>
      <c r="N52" s="174"/>
      <c r="O52" s="174">
        <v>2</v>
      </c>
      <c r="P52" s="81"/>
      <c r="Q52" s="81"/>
      <c r="R52" s="81"/>
      <c r="S52" s="37">
        <f>T52/O52</f>
        <v>29450000</v>
      </c>
      <c r="T52" s="37">
        <v>58900000</v>
      </c>
      <c r="U52" s="37">
        <f>T52*1.12</f>
        <v>65968000.00000001</v>
      </c>
      <c r="V52" s="22"/>
      <c r="W52" s="22">
        <v>2013</v>
      </c>
      <c r="X52" s="82"/>
    </row>
    <row r="53" spans="1:24" s="41" customFormat="1" ht="97.5" customHeight="1">
      <c r="A53" s="157" t="s">
        <v>1074</v>
      </c>
      <c r="B53" s="22" t="s">
        <v>422</v>
      </c>
      <c r="C53" s="450" t="s">
        <v>23</v>
      </c>
      <c r="D53" s="451" t="s">
        <v>24</v>
      </c>
      <c r="E53" s="451" t="s">
        <v>25</v>
      </c>
      <c r="F53" s="15" t="s">
        <v>1076</v>
      </c>
      <c r="G53" s="281" t="s">
        <v>257</v>
      </c>
      <c r="H53" s="22">
        <v>0</v>
      </c>
      <c r="I53" s="414">
        <v>41579</v>
      </c>
      <c r="J53" s="172" t="s">
        <v>894</v>
      </c>
      <c r="K53" s="17" t="s">
        <v>170</v>
      </c>
      <c r="L53" s="173" t="s">
        <v>246</v>
      </c>
      <c r="M53" s="15" t="s">
        <v>487</v>
      </c>
      <c r="N53" s="174"/>
      <c r="O53" s="174">
        <v>3</v>
      </c>
      <c r="P53" s="81"/>
      <c r="Q53" s="81"/>
      <c r="R53" s="81"/>
      <c r="S53" s="37">
        <v>17044885</v>
      </c>
      <c r="T53" s="37">
        <f>O53*S53</f>
        <v>51134655</v>
      </c>
      <c r="U53" s="37">
        <f>T53*1.12</f>
        <v>57270813.60000001</v>
      </c>
      <c r="V53" s="22"/>
      <c r="W53" s="22">
        <v>2013</v>
      </c>
      <c r="X53" s="82"/>
    </row>
    <row r="54" spans="1:24" s="41" customFormat="1" ht="88.5" customHeight="1">
      <c r="A54" s="157" t="s">
        <v>1075</v>
      </c>
      <c r="B54" s="22" t="s">
        <v>422</v>
      </c>
      <c r="C54" s="450" t="s">
        <v>23</v>
      </c>
      <c r="D54" s="451" t="s">
        <v>24</v>
      </c>
      <c r="E54" s="451" t="s">
        <v>25</v>
      </c>
      <c r="F54" s="15" t="s">
        <v>1077</v>
      </c>
      <c r="G54" s="281" t="s">
        <v>257</v>
      </c>
      <c r="H54" s="22">
        <v>0</v>
      </c>
      <c r="I54" s="414">
        <v>41579</v>
      </c>
      <c r="J54" s="172" t="s">
        <v>894</v>
      </c>
      <c r="K54" s="17" t="s">
        <v>170</v>
      </c>
      <c r="L54" s="173" t="s">
        <v>246</v>
      </c>
      <c r="M54" s="15" t="s">
        <v>487</v>
      </c>
      <c r="N54" s="174"/>
      <c r="O54" s="174">
        <v>6</v>
      </c>
      <c r="P54" s="81"/>
      <c r="Q54" s="81"/>
      <c r="R54" s="81"/>
      <c r="S54" s="37">
        <v>9955650</v>
      </c>
      <c r="T54" s="37">
        <f>O54*S54</f>
        <v>59733900</v>
      </c>
      <c r="U54" s="37">
        <f>T54*1.12</f>
        <v>66901968.00000001</v>
      </c>
      <c r="V54" s="22"/>
      <c r="W54" s="22">
        <v>2013</v>
      </c>
      <c r="X54" s="82"/>
    </row>
    <row r="55" spans="1:24" s="41" customFormat="1" ht="63.75">
      <c r="A55" s="157" t="s">
        <v>18</v>
      </c>
      <c r="B55" s="22" t="s">
        <v>422</v>
      </c>
      <c r="C55" s="363" t="s">
        <v>19</v>
      </c>
      <c r="D55" s="363" t="s">
        <v>20</v>
      </c>
      <c r="E55" s="363" t="s">
        <v>21</v>
      </c>
      <c r="F55" s="217" t="s">
        <v>22</v>
      </c>
      <c r="G55" s="281" t="s">
        <v>257</v>
      </c>
      <c r="H55" s="22">
        <v>0</v>
      </c>
      <c r="I55" s="396" t="s">
        <v>100</v>
      </c>
      <c r="J55" s="172" t="s">
        <v>894</v>
      </c>
      <c r="K55" s="17" t="s">
        <v>170</v>
      </c>
      <c r="L55" s="173" t="s">
        <v>418</v>
      </c>
      <c r="M55" s="15" t="s">
        <v>487</v>
      </c>
      <c r="N55" s="174">
        <v>2</v>
      </c>
      <c r="O55" s="174">
        <v>1</v>
      </c>
      <c r="P55" s="81"/>
      <c r="Q55" s="81"/>
      <c r="R55" s="81"/>
      <c r="S55" s="37">
        <v>2970000</v>
      </c>
      <c r="T55" s="37">
        <v>8910000</v>
      </c>
      <c r="U55" s="37">
        <f t="shared" si="3"/>
        <v>9979200.000000002</v>
      </c>
      <c r="V55" s="22"/>
      <c r="W55" s="22">
        <v>2013</v>
      </c>
      <c r="X55" s="82"/>
    </row>
    <row r="56" spans="1:24" s="83" customFormat="1" ht="60">
      <c r="A56" s="193" t="s">
        <v>979</v>
      </c>
      <c r="B56" s="87" t="s">
        <v>422</v>
      </c>
      <c r="C56" s="408" t="s">
        <v>975</v>
      </c>
      <c r="D56" s="409" t="s">
        <v>976</v>
      </c>
      <c r="E56" s="409" t="s">
        <v>977</v>
      </c>
      <c r="F56" s="410" t="s">
        <v>978</v>
      </c>
      <c r="G56" s="287" t="s">
        <v>257</v>
      </c>
      <c r="H56" s="378">
        <v>0</v>
      </c>
      <c r="I56" s="397" t="s">
        <v>873</v>
      </c>
      <c r="J56" s="65" t="s">
        <v>136</v>
      </c>
      <c r="K56" s="17" t="s">
        <v>949</v>
      </c>
      <c r="L56" s="15" t="s">
        <v>246</v>
      </c>
      <c r="M56" s="388" t="s">
        <v>487</v>
      </c>
      <c r="N56" s="219">
        <v>2</v>
      </c>
      <c r="O56" s="219">
        <v>1</v>
      </c>
      <c r="P56" s="390"/>
      <c r="Q56" s="383"/>
      <c r="R56" s="192"/>
      <c r="S56" s="393">
        <f>T56/3</f>
        <v>3267000</v>
      </c>
      <c r="T56" s="121">
        <v>9801000</v>
      </c>
      <c r="U56" s="37">
        <f>T56*1.12</f>
        <v>10977120.000000002</v>
      </c>
      <c r="V56" s="193"/>
      <c r="W56" s="22">
        <v>2013</v>
      </c>
      <c r="X56" s="384"/>
    </row>
    <row r="57" spans="1:24" s="83" customFormat="1" ht="72">
      <c r="A57" s="22" t="s">
        <v>511</v>
      </c>
      <c r="B57" s="87" t="s">
        <v>422</v>
      </c>
      <c r="C57" s="411" t="s">
        <v>513</v>
      </c>
      <c r="D57" s="411" t="s">
        <v>514</v>
      </c>
      <c r="E57" s="411" t="s">
        <v>515</v>
      </c>
      <c r="F57" s="411" t="s">
        <v>516</v>
      </c>
      <c r="G57" s="221" t="s">
        <v>242</v>
      </c>
      <c r="H57" s="22">
        <v>0</v>
      </c>
      <c r="I57" s="196" t="s">
        <v>521</v>
      </c>
      <c r="J57" s="65" t="s">
        <v>136</v>
      </c>
      <c r="K57" s="17" t="s">
        <v>522</v>
      </c>
      <c r="L57" s="15" t="s">
        <v>523</v>
      </c>
      <c r="M57" s="22" t="s">
        <v>487</v>
      </c>
      <c r="N57" s="219">
        <v>560</v>
      </c>
      <c r="O57" s="219">
        <v>1140</v>
      </c>
      <c r="P57" s="182"/>
      <c r="Q57" s="210"/>
      <c r="R57" s="72"/>
      <c r="S57" s="37">
        <v>2058.824</v>
      </c>
      <c r="T57" s="121">
        <v>3500000</v>
      </c>
      <c r="U57" s="37">
        <f>T57*1.12</f>
        <v>3920000.0000000005</v>
      </c>
      <c r="V57" s="22"/>
      <c r="W57" s="22">
        <v>2013</v>
      </c>
      <c r="X57" s="82"/>
    </row>
    <row r="58" spans="1:24" s="83" customFormat="1" ht="36">
      <c r="A58" s="22" t="s">
        <v>512</v>
      </c>
      <c r="B58" s="87" t="s">
        <v>422</v>
      </c>
      <c r="C58" s="411" t="s">
        <v>517</v>
      </c>
      <c r="D58" s="411" t="s">
        <v>518</v>
      </c>
      <c r="E58" s="411" t="s">
        <v>519</v>
      </c>
      <c r="F58" s="411" t="s">
        <v>520</v>
      </c>
      <c r="G58" s="221" t="s">
        <v>242</v>
      </c>
      <c r="H58" s="22">
        <v>0</v>
      </c>
      <c r="I58" s="196" t="s">
        <v>521</v>
      </c>
      <c r="J58" s="65" t="s">
        <v>136</v>
      </c>
      <c r="K58" s="17" t="s">
        <v>522</v>
      </c>
      <c r="L58" s="15" t="s">
        <v>523</v>
      </c>
      <c r="M58" s="22" t="s">
        <v>487</v>
      </c>
      <c r="N58" s="219">
        <v>16</v>
      </c>
      <c r="O58" s="219">
        <v>34</v>
      </c>
      <c r="P58" s="182"/>
      <c r="Q58" s="210"/>
      <c r="R58" s="72"/>
      <c r="S58" s="37">
        <v>24000</v>
      </c>
      <c r="T58" s="121">
        <v>1200000</v>
      </c>
      <c r="U58" s="37">
        <f>T58*1.12</f>
        <v>1344000.0000000002</v>
      </c>
      <c r="V58" s="22"/>
      <c r="W58" s="22">
        <v>2013</v>
      </c>
      <c r="X58" s="82"/>
    </row>
    <row r="59" spans="1:24" s="83" customFormat="1" ht="63.75">
      <c r="A59" s="22" t="s">
        <v>401</v>
      </c>
      <c r="B59" s="87" t="s">
        <v>422</v>
      </c>
      <c r="C59" s="87" t="s">
        <v>471</v>
      </c>
      <c r="D59" s="22" t="s">
        <v>473</v>
      </c>
      <c r="E59" s="22" t="s">
        <v>472</v>
      </c>
      <c r="F59" s="28" t="s">
        <v>402</v>
      </c>
      <c r="G59" s="221" t="s">
        <v>242</v>
      </c>
      <c r="H59" s="22">
        <v>0</v>
      </c>
      <c r="I59" s="196">
        <v>41518</v>
      </c>
      <c r="J59" s="23" t="s">
        <v>403</v>
      </c>
      <c r="K59" s="23" t="s">
        <v>170</v>
      </c>
      <c r="L59" s="21" t="s">
        <v>218</v>
      </c>
      <c r="M59" s="22" t="s">
        <v>487</v>
      </c>
      <c r="N59" s="437"/>
      <c r="O59" s="437">
        <v>5</v>
      </c>
      <c r="P59" s="437"/>
      <c r="Q59" s="137"/>
      <c r="R59" s="72"/>
      <c r="S59" s="37">
        <v>30508000</v>
      </c>
      <c r="T59" s="79">
        <v>152540000</v>
      </c>
      <c r="U59" s="37">
        <f>T59*1.12</f>
        <v>170844800.00000003</v>
      </c>
      <c r="V59" s="22"/>
      <c r="W59" s="22">
        <v>2013</v>
      </c>
      <c r="X59" s="82"/>
    </row>
    <row r="60" spans="1:24" s="83" customFormat="1" ht="76.5">
      <c r="A60" s="22" t="s">
        <v>329</v>
      </c>
      <c r="B60" s="87" t="s">
        <v>422</v>
      </c>
      <c r="C60" s="432" t="s">
        <v>275</v>
      </c>
      <c r="D60" s="211" t="s">
        <v>276</v>
      </c>
      <c r="E60" s="15" t="s">
        <v>277</v>
      </c>
      <c r="F60" s="15" t="s">
        <v>278</v>
      </c>
      <c r="G60" s="221" t="s">
        <v>944</v>
      </c>
      <c r="H60" s="22">
        <v>0</v>
      </c>
      <c r="I60" s="196">
        <v>41518</v>
      </c>
      <c r="J60" s="65" t="s">
        <v>136</v>
      </c>
      <c r="K60" s="17" t="s">
        <v>522</v>
      </c>
      <c r="L60" s="217" t="s">
        <v>350</v>
      </c>
      <c r="M60" s="217" t="s">
        <v>351</v>
      </c>
      <c r="N60" s="217">
        <v>20</v>
      </c>
      <c r="O60" s="217">
        <v>40</v>
      </c>
      <c r="P60" s="219"/>
      <c r="Q60" s="210"/>
      <c r="R60" s="72"/>
      <c r="S60" s="436">
        <v>75000</v>
      </c>
      <c r="T60" s="121">
        <v>4500000</v>
      </c>
      <c r="U60" s="37">
        <f aca="true" t="shared" si="4" ref="U60:U80">T60*1.12</f>
        <v>5040000.000000001</v>
      </c>
      <c r="V60" s="22"/>
      <c r="W60" s="22">
        <v>2013</v>
      </c>
      <c r="X60" s="82"/>
    </row>
    <row r="61" spans="1:24" s="83" customFormat="1" ht="76.5">
      <c r="A61" s="22" t="s">
        <v>330</v>
      </c>
      <c r="B61" s="87" t="s">
        <v>422</v>
      </c>
      <c r="C61" s="432" t="s">
        <v>279</v>
      </c>
      <c r="D61" s="211" t="s">
        <v>276</v>
      </c>
      <c r="E61" s="15" t="s">
        <v>277</v>
      </c>
      <c r="F61" s="15" t="s">
        <v>280</v>
      </c>
      <c r="G61" s="221" t="s">
        <v>944</v>
      </c>
      <c r="H61" s="22">
        <v>0</v>
      </c>
      <c r="I61" s="196">
        <v>41518</v>
      </c>
      <c r="J61" s="65" t="s">
        <v>136</v>
      </c>
      <c r="K61" s="17" t="s">
        <v>522</v>
      </c>
      <c r="L61" s="217" t="s">
        <v>350</v>
      </c>
      <c r="M61" s="217" t="s">
        <v>352</v>
      </c>
      <c r="N61" s="217">
        <v>1.5</v>
      </c>
      <c r="O61" s="217">
        <v>3</v>
      </c>
      <c r="P61" s="219"/>
      <c r="Q61" s="210"/>
      <c r="R61" s="72"/>
      <c r="S61" s="436">
        <v>60500</v>
      </c>
      <c r="T61" s="121">
        <v>272250</v>
      </c>
      <c r="U61" s="37">
        <f t="shared" si="4"/>
        <v>304920</v>
      </c>
      <c r="V61" s="22"/>
      <c r="W61" s="22">
        <v>2013</v>
      </c>
      <c r="X61" s="82"/>
    </row>
    <row r="62" spans="1:24" s="83" customFormat="1" ht="63.75">
      <c r="A62" s="22" t="s">
        <v>331</v>
      </c>
      <c r="B62" s="87" t="s">
        <v>422</v>
      </c>
      <c r="C62" s="432" t="s">
        <v>275</v>
      </c>
      <c r="D62" s="211" t="s">
        <v>276</v>
      </c>
      <c r="E62" s="15" t="s">
        <v>277</v>
      </c>
      <c r="F62" s="15" t="s">
        <v>281</v>
      </c>
      <c r="G62" s="221" t="s">
        <v>944</v>
      </c>
      <c r="H62" s="22">
        <v>0</v>
      </c>
      <c r="I62" s="196">
        <v>41518</v>
      </c>
      <c r="J62" s="65" t="s">
        <v>136</v>
      </c>
      <c r="K62" s="17" t="s">
        <v>522</v>
      </c>
      <c r="L62" s="217" t="s">
        <v>350</v>
      </c>
      <c r="M62" s="217" t="s">
        <v>351</v>
      </c>
      <c r="N62" s="217">
        <v>2</v>
      </c>
      <c r="O62" s="217">
        <v>4</v>
      </c>
      <c r="P62" s="219"/>
      <c r="Q62" s="210"/>
      <c r="R62" s="72"/>
      <c r="S62" s="436">
        <v>66000</v>
      </c>
      <c r="T62" s="121">
        <v>396000</v>
      </c>
      <c r="U62" s="37">
        <f t="shared" si="4"/>
        <v>443520.00000000006</v>
      </c>
      <c r="V62" s="22"/>
      <c r="W62" s="22">
        <v>2013</v>
      </c>
      <c r="X62" s="82"/>
    </row>
    <row r="63" spans="1:24" s="83" customFormat="1" ht="51">
      <c r="A63" s="22" t="s">
        <v>332</v>
      </c>
      <c r="B63" s="87" t="s">
        <v>422</v>
      </c>
      <c r="C63" s="432" t="s">
        <v>279</v>
      </c>
      <c r="D63" s="211" t="s">
        <v>276</v>
      </c>
      <c r="E63" s="15" t="s">
        <v>277</v>
      </c>
      <c r="F63" s="15" t="s">
        <v>282</v>
      </c>
      <c r="G63" s="221" t="s">
        <v>944</v>
      </c>
      <c r="H63" s="22">
        <v>0</v>
      </c>
      <c r="I63" s="196">
        <v>41518</v>
      </c>
      <c r="J63" s="65" t="s">
        <v>136</v>
      </c>
      <c r="K63" s="17" t="s">
        <v>522</v>
      </c>
      <c r="L63" s="217" t="s">
        <v>350</v>
      </c>
      <c r="M63" s="217" t="s">
        <v>353</v>
      </c>
      <c r="N63" s="217">
        <v>4</v>
      </c>
      <c r="O63" s="217">
        <v>6</v>
      </c>
      <c r="P63" s="219"/>
      <c r="Q63" s="210"/>
      <c r="R63" s="72"/>
      <c r="S63" s="436">
        <v>75000</v>
      </c>
      <c r="T63" s="121">
        <v>750000</v>
      </c>
      <c r="U63" s="37">
        <f t="shared" si="4"/>
        <v>840000.0000000001</v>
      </c>
      <c r="V63" s="22"/>
      <c r="W63" s="22">
        <v>2013</v>
      </c>
      <c r="X63" s="82"/>
    </row>
    <row r="64" spans="1:24" s="83" customFormat="1" ht="63.75">
      <c r="A64" s="22" t="s">
        <v>333</v>
      </c>
      <c r="B64" s="87" t="s">
        <v>422</v>
      </c>
      <c r="C64" s="432" t="s">
        <v>279</v>
      </c>
      <c r="D64" s="211" t="s">
        <v>276</v>
      </c>
      <c r="E64" s="15" t="s">
        <v>277</v>
      </c>
      <c r="F64" s="15" t="s">
        <v>283</v>
      </c>
      <c r="G64" s="221" t="s">
        <v>944</v>
      </c>
      <c r="H64" s="22">
        <v>0</v>
      </c>
      <c r="I64" s="196">
        <v>41518</v>
      </c>
      <c r="J64" s="65" t="s">
        <v>136</v>
      </c>
      <c r="K64" s="17" t="s">
        <v>522</v>
      </c>
      <c r="L64" s="217" t="s">
        <v>350</v>
      </c>
      <c r="M64" s="217" t="s">
        <v>353</v>
      </c>
      <c r="N64" s="217">
        <v>1.5</v>
      </c>
      <c r="O64" s="217">
        <v>3</v>
      </c>
      <c r="P64" s="219"/>
      <c r="Q64" s="210"/>
      <c r="R64" s="72"/>
      <c r="S64" s="436">
        <v>63000</v>
      </c>
      <c r="T64" s="121">
        <v>283500.002835</v>
      </c>
      <c r="U64" s="37">
        <f t="shared" si="4"/>
        <v>317520.0031752</v>
      </c>
      <c r="V64" s="22"/>
      <c r="W64" s="22">
        <v>2013</v>
      </c>
      <c r="X64" s="82"/>
    </row>
    <row r="65" spans="1:24" s="83" customFormat="1" ht="51">
      <c r="A65" s="22" t="s">
        <v>334</v>
      </c>
      <c r="B65" s="87" t="s">
        <v>422</v>
      </c>
      <c r="C65" s="432" t="s">
        <v>279</v>
      </c>
      <c r="D65" s="211" t="s">
        <v>276</v>
      </c>
      <c r="E65" s="15" t="s">
        <v>277</v>
      </c>
      <c r="F65" s="15" t="s">
        <v>284</v>
      </c>
      <c r="G65" s="221" t="s">
        <v>944</v>
      </c>
      <c r="H65" s="22">
        <v>0</v>
      </c>
      <c r="I65" s="196">
        <v>41518</v>
      </c>
      <c r="J65" s="65" t="s">
        <v>136</v>
      </c>
      <c r="K65" s="17" t="s">
        <v>522</v>
      </c>
      <c r="L65" s="217" t="s">
        <v>350</v>
      </c>
      <c r="M65" s="217" t="s">
        <v>353</v>
      </c>
      <c r="N65" s="217">
        <v>0.5</v>
      </c>
      <c r="O65" s="217">
        <v>1</v>
      </c>
      <c r="P65" s="219"/>
      <c r="Q65" s="210"/>
      <c r="R65" s="72"/>
      <c r="S65" s="436">
        <v>30000</v>
      </c>
      <c r="T65" s="121">
        <v>45000</v>
      </c>
      <c r="U65" s="37">
        <f t="shared" si="4"/>
        <v>50400.00000000001</v>
      </c>
      <c r="V65" s="22"/>
      <c r="W65" s="22">
        <v>2013</v>
      </c>
      <c r="X65" s="82"/>
    </row>
    <row r="66" spans="1:24" s="83" customFormat="1" ht="76.5">
      <c r="A66" s="22" t="s">
        <v>335</v>
      </c>
      <c r="B66" s="87" t="s">
        <v>422</v>
      </c>
      <c r="C66" s="432" t="s">
        <v>285</v>
      </c>
      <c r="D66" s="211" t="s">
        <v>286</v>
      </c>
      <c r="E66" s="211" t="s">
        <v>287</v>
      </c>
      <c r="F66" s="15" t="s">
        <v>288</v>
      </c>
      <c r="G66" s="221" t="s">
        <v>944</v>
      </c>
      <c r="H66" s="22">
        <v>0</v>
      </c>
      <c r="I66" s="196">
        <v>41518</v>
      </c>
      <c r="J66" s="65" t="s">
        <v>136</v>
      </c>
      <c r="K66" s="17" t="s">
        <v>522</v>
      </c>
      <c r="L66" s="217" t="s">
        <v>350</v>
      </c>
      <c r="M66" s="217" t="s">
        <v>231</v>
      </c>
      <c r="N66" s="217">
        <v>18</v>
      </c>
      <c r="O66" s="217">
        <v>20</v>
      </c>
      <c r="P66" s="219"/>
      <c r="Q66" s="210"/>
      <c r="R66" s="72"/>
      <c r="S66" s="436">
        <v>32000</v>
      </c>
      <c r="T66" s="121">
        <v>1216000</v>
      </c>
      <c r="U66" s="37">
        <f t="shared" si="4"/>
        <v>1361920.0000000002</v>
      </c>
      <c r="V66" s="22"/>
      <c r="W66" s="22">
        <v>2013</v>
      </c>
      <c r="X66" s="82"/>
    </row>
    <row r="67" spans="1:24" s="83" customFormat="1" ht="51">
      <c r="A67" s="22" t="s">
        <v>336</v>
      </c>
      <c r="B67" s="87" t="s">
        <v>422</v>
      </c>
      <c r="C67" s="432" t="s">
        <v>285</v>
      </c>
      <c r="D67" s="211" t="s">
        <v>286</v>
      </c>
      <c r="E67" s="211" t="s">
        <v>287</v>
      </c>
      <c r="F67" s="15" t="s">
        <v>289</v>
      </c>
      <c r="G67" s="221" t="s">
        <v>944</v>
      </c>
      <c r="H67" s="22">
        <v>0</v>
      </c>
      <c r="I67" s="196">
        <v>41518</v>
      </c>
      <c r="J67" s="65" t="s">
        <v>136</v>
      </c>
      <c r="K67" s="17" t="s">
        <v>522</v>
      </c>
      <c r="L67" s="217" t="s">
        <v>350</v>
      </c>
      <c r="M67" s="217" t="s">
        <v>231</v>
      </c>
      <c r="N67" s="217">
        <v>30</v>
      </c>
      <c r="O67" s="217">
        <v>60</v>
      </c>
      <c r="P67" s="219"/>
      <c r="Q67" s="210"/>
      <c r="R67" s="72"/>
      <c r="S67" s="436">
        <v>34000</v>
      </c>
      <c r="T67" s="121">
        <v>3060000</v>
      </c>
      <c r="U67" s="37">
        <f t="shared" si="4"/>
        <v>3427200.0000000005</v>
      </c>
      <c r="V67" s="22"/>
      <c r="W67" s="22">
        <v>2013</v>
      </c>
      <c r="X67" s="82"/>
    </row>
    <row r="68" spans="1:24" s="83" customFormat="1" ht="51">
      <c r="A68" s="22" t="s">
        <v>337</v>
      </c>
      <c r="B68" s="87" t="s">
        <v>422</v>
      </c>
      <c r="C68" s="432" t="s">
        <v>290</v>
      </c>
      <c r="D68" s="211" t="s">
        <v>291</v>
      </c>
      <c r="E68" s="211" t="s">
        <v>292</v>
      </c>
      <c r="F68" s="15" t="s">
        <v>293</v>
      </c>
      <c r="G68" s="221" t="s">
        <v>944</v>
      </c>
      <c r="H68" s="22">
        <v>0</v>
      </c>
      <c r="I68" s="196">
        <v>41518</v>
      </c>
      <c r="J68" s="65" t="s">
        <v>136</v>
      </c>
      <c r="K68" s="17" t="s">
        <v>522</v>
      </c>
      <c r="L68" s="217" t="s">
        <v>350</v>
      </c>
      <c r="M68" s="217" t="s">
        <v>351</v>
      </c>
      <c r="N68" s="217">
        <v>15</v>
      </c>
      <c r="O68" s="217">
        <v>30</v>
      </c>
      <c r="P68" s="219"/>
      <c r="Q68" s="210"/>
      <c r="R68" s="72"/>
      <c r="S68" s="436">
        <v>35000</v>
      </c>
      <c r="T68" s="121">
        <v>1575000</v>
      </c>
      <c r="U68" s="37">
        <f t="shared" si="4"/>
        <v>1764000.0000000002</v>
      </c>
      <c r="V68" s="22"/>
      <c r="W68" s="22">
        <v>2013</v>
      </c>
      <c r="X68" s="82"/>
    </row>
    <row r="69" spans="1:24" s="83" customFormat="1" ht="102">
      <c r="A69" s="22" t="s">
        <v>338</v>
      </c>
      <c r="B69" s="87" t="s">
        <v>422</v>
      </c>
      <c r="C69" s="432" t="s">
        <v>294</v>
      </c>
      <c r="D69" s="211" t="s">
        <v>295</v>
      </c>
      <c r="E69" s="211" t="s">
        <v>296</v>
      </c>
      <c r="F69" s="15" t="s">
        <v>297</v>
      </c>
      <c r="G69" s="221" t="s">
        <v>944</v>
      </c>
      <c r="H69" s="22">
        <v>0</v>
      </c>
      <c r="I69" s="196">
        <v>41518</v>
      </c>
      <c r="J69" s="65" t="s">
        <v>136</v>
      </c>
      <c r="K69" s="17" t="s">
        <v>522</v>
      </c>
      <c r="L69" s="217" t="s">
        <v>350</v>
      </c>
      <c r="M69" s="217" t="s">
        <v>351</v>
      </c>
      <c r="N69" s="217">
        <v>45</v>
      </c>
      <c r="O69" s="217">
        <v>135</v>
      </c>
      <c r="P69" s="219"/>
      <c r="Q69" s="210"/>
      <c r="R69" s="72"/>
      <c r="S69" s="436">
        <v>2000</v>
      </c>
      <c r="T69" s="121">
        <v>360000</v>
      </c>
      <c r="U69" s="37">
        <f t="shared" si="4"/>
        <v>403200.00000000006</v>
      </c>
      <c r="V69" s="22"/>
      <c r="W69" s="22">
        <v>2013</v>
      </c>
      <c r="X69" s="82"/>
    </row>
    <row r="70" spans="1:24" s="83" customFormat="1" ht="51">
      <c r="A70" s="22" t="s">
        <v>339</v>
      </c>
      <c r="B70" s="87" t="s">
        <v>422</v>
      </c>
      <c r="C70" s="433" t="s">
        <v>298</v>
      </c>
      <c r="D70" s="434" t="s">
        <v>299</v>
      </c>
      <c r="E70" s="434" t="s">
        <v>299</v>
      </c>
      <c r="F70" s="22" t="s">
        <v>300</v>
      </c>
      <c r="G70" s="221" t="s">
        <v>944</v>
      </c>
      <c r="H70" s="22">
        <v>0</v>
      </c>
      <c r="I70" s="196">
        <v>41518</v>
      </c>
      <c r="J70" s="65" t="s">
        <v>136</v>
      </c>
      <c r="K70" s="17" t="s">
        <v>522</v>
      </c>
      <c r="L70" s="217" t="s">
        <v>350</v>
      </c>
      <c r="M70" s="435" t="s">
        <v>354</v>
      </c>
      <c r="N70" s="217">
        <v>5.08</v>
      </c>
      <c r="O70" s="217">
        <v>10</v>
      </c>
      <c r="P70" s="219"/>
      <c r="Q70" s="210"/>
      <c r="R70" s="72"/>
      <c r="S70" s="436">
        <v>80000</v>
      </c>
      <c r="T70" s="121">
        <v>1206400</v>
      </c>
      <c r="U70" s="37">
        <f t="shared" si="4"/>
        <v>1351168.0000000002</v>
      </c>
      <c r="V70" s="22"/>
      <c r="W70" s="22">
        <v>2013</v>
      </c>
      <c r="X70" s="82"/>
    </row>
    <row r="71" spans="1:24" s="83" customFormat="1" ht="51">
      <c r="A71" s="22" t="s">
        <v>340</v>
      </c>
      <c r="B71" s="87" t="s">
        <v>422</v>
      </c>
      <c r="C71" s="432" t="s">
        <v>301</v>
      </c>
      <c r="D71" s="211" t="s">
        <v>295</v>
      </c>
      <c r="E71" s="211" t="s">
        <v>296</v>
      </c>
      <c r="F71" s="15" t="s">
        <v>302</v>
      </c>
      <c r="G71" s="221" t="s">
        <v>944</v>
      </c>
      <c r="H71" s="22">
        <v>0</v>
      </c>
      <c r="I71" s="196">
        <v>41518</v>
      </c>
      <c r="J71" s="65" t="s">
        <v>136</v>
      </c>
      <c r="K71" s="17" t="s">
        <v>522</v>
      </c>
      <c r="L71" s="217" t="s">
        <v>350</v>
      </c>
      <c r="M71" s="217" t="s">
        <v>352</v>
      </c>
      <c r="N71" s="217">
        <v>13</v>
      </c>
      <c r="O71" s="217">
        <v>20</v>
      </c>
      <c r="P71" s="219"/>
      <c r="Q71" s="210"/>
      <c r="R71" s="72"/>
      <c r="S71" s="436">
        <v>12000</v>
      </c>
      <c r="T71" s="121">
        <v>396000</v>
      </c>
      <c r="U71" s="37">
        <f t="shared" si="4"/>
        <v>443520.00000000006</v>
      </c>
      <c r="V71" s="22"/>
      <c r="W71" s="22">
        <v>2013</v>
      </c>
      <c r="X71" s="82"/>
    </row>
    <row r="72" spans="1:24" s="83" customFormat="1" ht="51">
      <c r="A72" s="22" t="s">
        <v>341</v>
      </c>
      <c r="B72" s="87" t="s">
        <v>422</v>
      </c>
      <c r="C72" s="433" t="s">
        <v>298</v>
      </c>
      <c r="D72" s="434" t="s">
        <v>299</v>
      </c>
      <c r="E72" s="434" t="s">
        <v>299</v>
      </c>
      <c r="F72" s="22" t="s">
        <v>303</v>
      </c>
      <c r="G72" s="221" t="s">
        <v>944</v>
      </c>
      <c r="H72" s="22">
        <v>0</v>
      </c>
      <c r="I72" s="196">
        <v>41518</v>
      </c>
      <c r="J72" s="65" t="s">
        <v>136</v>
      </c>
      <c r="K72" s="17" t="s">
        <v>522</v>
      </c>
      <c r="L72" s="217" t="s">
        <v>350</v>
      </c>
      <c r="M72" s="435" t="s">
        <v>351</v>
      </c>
      <c r="N72" s="435">
        <v>10</v>
      </c>
      <c r="O72" s="435">
        <v>30</v>
      </c>
      <c r="P72" s="219"/>
      <c r="Q72" s="210"/>
      <c r="R72" s="72"/>
      <c r="S72" s="436">
        <v>12000</v>
      </c>
      <c r="T72" s="121">
        <v>480000</v>
      </c>
      <c r="U72" s="37">
        <f t="shared" si="4"/>
        <v>537600</v>
      </c>
      <c r="V72" s="22"/>
      <c r="W72" s="22">
        <v>2013</v>
      </c>
      <c r="X72" s="82"/>
    </row>
    <row r="73" spans="1:24" s="83" customFormat="1" ht="63.75">
      <c r="A73" s="22" t="s">
        <v>342</v>
      </c>
      <c r="B73" s="87" t="s">
        <v>422</v>
      </c>
      <c r="C73" s="433" t="s">
        <v>304</v>
      </c>
      <c r="D73" s="434" t="s">
        <v>305</v>
      </c>
      <c r="E73" s="434" t="s">
        <v>306</v>
      </c>
      <c r="F73" s="22" t="s">
        <v>307</v>
      </c>
      <c r="G73" s="221" t="s">
        <v>944</v>
      </c>
      <c r="H73" s="22">
        <v>0</v>
      </c>
      <c r="I73" s="196">
        <v>41518</v>
      </c>
      <c r="J73" s="65" t="s">
        <v>136</v>
      </c>
      <c r="K73" s="17" t="s">
        <v>522</v>
      </c>
      <c r="L73" s="217" t="s">
        <v>350</v>
      </c>
      <c r="M73" s="435" t="s">
        <v>231</v>
      </c>
      <c r="N73" s="435">
        <v>150</v>
      </c>
      <c r="O73" s="435">
        <v>75</v>
      </c>
      <c r="P73" s="219"/>
      <c r="Q73" s="210"/>
      <c r="R73" s="72"/>
      <c r="S73" s="436">
        <v>7000</v>
      </c>
      <c r="T73" s="121">
        <v>1575000</v>
      </c>
      <c r="U73" s="37">
        <f t="shared" si="4"/>
        <v>1764000.0000000002</v>
      </c>
      <c r="V73" s="22"/>
      <c r="W73" s="22">
        <v>2013</v>
      </c>
      <c r="X73" s="82"/>
    </row>
    <row r="74" spans="1:24" s="83" customFormat="1" ht="51">
      <c r="A74" s="22" t="s">
        <v>343</v>
      </c>
      <c r="B74" s="87" t="s">
        <v>422</v>
      </c>
      <c r="C74" s="432" t="s">
        <v>308</v>
      </c>
      <c r="D74" s="211" t="s">
        <v>309</v>
      </c>
      <c r="E74" s="211" t="s">
        <v>310</v>
      </c>
      <c r="F74" s="22" t="s">
        <v>311</v>
      </c>
      <c r="G74" s="221" t="s">
        <v>944</v>
      </c>
      <c r="H74" s="22">
        <v>0</v>
      </c>
      <c r="I74" s="196">
        <v>41518</v>
      </c>
      <c r="J74" s="65" t="s">
        <v>136</v>
      </c>
      <c r="K74" s="17" t="s">
        <v>522</v>
      </c>
      <c r="L74" s="217" t="s">
        <v>350</v>
      </c>
      <c r="M74" s="435" t="s">
        <v>351</v>
      </c>
      <c r="N74" s="435">
        <v>350</v>
      </c>
      <c r="O74" s="435">
        <v>700</v>
      </c>
      <c r="P74" s="219"/>
      <c r="Q74" s="210"/>
      <c r="R74" s="72"/>
      <c r="S74" s="436">
        <v>2500</v>
      </c>
      <c r="T74" s="121">
        <v>2625000</v>
      </c>
      <c r="U74" s="37">
        <f t="shared" si="4"/>
        <v>2940000.0000000005</v>
      </c>
      <c r="V74" s="22"/>
      <c r="W74" s="22">
        <v>2013</v>
      </c>
      <c r="X74" s="82"/>
    </row>
    <row r="75" spans="1:24" s="83" customFormat="1" ht="51">
      <c r="A75" s="22" t="s">
        <v>344</v>
      </c>
      <c r="B75" s="87" t="s">
        <v>422</v>
      </c>
      <c r="C75" s="433" t="s">
        <v>312</v>
      </c>
      <c r="D75" s="434" t="s">
        <v>313</v>
      </c>
      <c r="E75" s="434" t="s">
        <v>314</v>
      </c>
      <c r="F75" s="22" t="s">
        <v>315</v>
      </c>
      <c r="G75" s="221" t="s">
        <v>944</v>
      </c>
      <c r="H75" s="22">
        <v>0</v>
      </c>
      <c r="I75" s="196">
        <v>41518</v>
      </c>
      <c r="J75" s="65" t="s">
        <v>136</v>
      </c>
      <c r="K75" s="17" t="s">
        <v>522</v>
      </c>
      <c r="L75" s="217" t="s">
        <v>350</v>
      </c>
      <c r="M75" s="435" t="s">
        <v>355</v>
      </c>
      <c r="N75" s="15">
        <v>4</v>
      </c>
      <c r="O75" s="435">
        <v>8</v>
      </c>
      <c r="P75" s="219"/>
      <c r="Q75" s="210"/>
      <c r="R75" s="72"/>
      <c r="S75" s="436">
        <v>16000</v>
      </c>
      <c r="T75" s="121">
        <v>192000</v>
      </c>
      <c r="U75" s="37">
        <f t="shared" si="4"/>
        <v>215040.00000000003</v>
      </c>
      <c r="V75" s="22"/>
      <c r="W75" s="22">
        <v>2013</v>
      </c>
      <c r="X75" s="82"/>
    </row>
    <row r="76" spans="1:24" s="83" customFormat="1" ht="51">
      <c r="A76" s="22" t="s">
        <v>345</v>
      </c>
      <c r="B76" s="87" t="s">
        <v>422</v>
      </c>
      <c r="C76" s="433" t="s">
        <v>308</v>
      </c>
      <c r="D76" s="434" t="s">
        <v>316</v>
      </c>
      <c r="E76" s="434" t="s">
        <v>317</v>
      </c>
      <c r="F76" s="22" t="s">
        <v>318</v>
      </c>
      <c r="G76" s="221" t="s">
        <v>944</v>
      </c>
      <c r="H76" s="22">
        <v>0</v>
      </c>
      <c r="I76" s="196">
        <v>41518</v>
      </c>
      <c r="J76" s="65" t="s">
        <v>136</v>
      </c>
      <c r="K76" s="17" t="s">
        <v>522</v>
      </c>
      <c r="L76" s="217" t="s">
        <v>350</v>
      </c>
      <c r="M76" s="435" t="s">
        <v>351</v>
      </c>
      <c r="N76" s="435">
        <v>25</v>
      </c>
      <c r="O76" s="435">
        <v>50</v>
      </c>
      <c r="P76" s="219"/>
      <c r="Q76" s="210"/>
      <c r="R76" s="72"/>
      <c r="S76" s="436">
        <v>3000</v>
      </c>
      <c r="T76" s="121">
        <v>225000</v>
      </c>
      <c r="U76" s="37">
        <f t="shared" si="4"/>
        <v>252000.00000000003</v>
      </c>
      <c r="V76" s="22"/>
      <c r="W76" s="22">
        <v>2013</v>
      </c>
      <c r="X76" s="82"/>
    </row>
    <row r="77" spans="1:24" s="83" customFormat="1" ht="51">
      <c r="A77" s="22" t="s">
        <v>346</v>
      </c>
      <c r="B77" s="87" t="s">
        <v>422</v>
      </c>
      <c r="C77" s="433" t="s">
        <v>298</v>
      </c>
      <c r="D77" s="434" t="s">
        <v>299</v>
      </c>
      <c r="E77" s="434" t="s">
        <v>299</v>
      </c>
      <c r="F77" s="22" t="s">
        <v>319</v>
      </c>
      <c r="G77" s="221" t="s">
        <v>944</v>
      </c>
      <c r="H77" s="22">
        <v>0</v>
      </c>
      <c r="I77" s="196">
        <v>41518</v>
      </c>
      <c r="J77" s="65" t="s">
        <v>136</v>
      </c>
      <c r="K77" s="17" t="s">
        <v>522</v>
      </c>
      <c r="L77" s="217" t="s">
        <v>350</v>
      </c>
      <c r="M77" s="435" t="s">
        <v>356</v>
      </c>
      <c r="N77" s="15">
        <v>10</v>
      </c>
      <c r="O77" s="435">
        <v>30</v>
      </c>
      <c r="P77" s="219"/>
      <c r="Q77" s="210"/>
      <c r="R77" s="72"/>
      <c r="S77" s="436">
        <v>20000</v>
      </c>
      <c r="T77" s="121">
        <v>800000</v>
      </c>
      <c r="U77" s="37">
        <f t="shared" si="4"/>
        <v>896000.0000000001</v>
      </c>
      <c r="V77" s="22"/>
      <c r="W77" s="22">
        <v>2013</v>
      </c>
      <c r="X77" s="82"/>
    </row>
    <row r="78" spans="1:24" s="83" customFormat="1" ht="51">
      <c r="A78" s="22" t="s">
        <v>347</v>
      </c>
      <c r="B78" s="87" t="s">
        <v>422</v>
      </c>
      <c r="C78" s="15" t="s">
        <v>308</v>
      </c>
      <c r="D78" s="15" t="s">
        <v>316</v>
      </c>
      <c r="E78" s="15" t="s">
        <v>317</v>
      </c>
      <c r="F78" s="15" t="s">
        <v>320</v>
      </c>
      <c r="G78" s="221" t="s">
        <v>944</v>
      </c>
      <c r="H78" s="22">
        <v>0</v>
      </c>
      <c r="I78" s="196">
        <v>41518</v>
      </c>
      <c r="J78" s="65" t="s">
        <v>136</v>
      </c>
      <c r="K78" s="17" t="s">
        <v>522</v>
      </c>
      <c r="L78" s="217" t="s">
        <v>350</v>
      </c>
      <c r="M78" s="15" t="s">
        <v>351</v>
      </c>
      <c r="N78" s="15">
        <v>150</v>
      </c>
      <c r="O78" s="435">
        <v>250</v>
      </c>
      <c r="P78" s="219"/>
      <c r="Q78" s="210"/>
      <c r="R78" s="72"/>
      <c r="S78" s="436">
        <v>2000</v>
      </c>
      <c r="T78" s="121">
        <v>800000</v>
      </c>
      <c r="U78" s="37">
        <f t="shared" si="4"/>
        <v>896000.0000000001</v>
      </c>
      <c r="V78" s="22"/>
      <c r="W78" s="22">
        <v>2013</v>
      </c>
      <c r="X78" s="82"/>
    </row>
    <row r="79" spans="1:24" s="83" customFormat="1" ht="51">
      <c r="A79" s="22" t="s">
        <v>348</v>
      </c>
      <c r="B79" s="87" t="s">
        <v>422</v>
      </c>
      <c r="C79" s="15" t="s">
        <v>321</v>
      </c>
      <c r="D79" s="15" t="s">
        <v>322</v>
      </c>
      <c r="E79" s="15" t="s">
        <v>323</v>
      </c>
      <c r="F79" s="15" t="s">
        <v>324</v>
      </c>
      <c r="G79" s="221" t="s">
        <v>944</v>
      </c>
      <c r="H79" s="22">
        <v>0</v>
      </c>
      <c r="I79" s="196">
        <v>41518</v>
      </c>
      <c r="J79" s="65" t="s">
        <v>136</v>
      </c>
      <c r="K79" s="17" t="s">
        <v>522</v>
      </c>
      <c r="L79" s="217" t="s">
        <v>350</v>
      </c>
      <c r="M79" s="15" t="s">
        <v>351</v>
      </c>
      <c r="N79" s="22">
        <v>50</v>
      </c>
      <c r="O79" s="435">
        <v>100</v>
      </c>
      <c r="P79" s="219"/>
      <c r="Q79" s="210"/>
      <c r="R79" s="72"/>
      <c r="S79" s="436">
        <v>700</v>
      </c>
      <c r="T79" s="121">
        <v>105000</v>
      </c>
      <c r="U79" s="37">
        <f t="shared" si="4"/>
        <v>117600.00000000001</v>
      </c>
      <c r="V79" s="22"/>
      <c r="W79" s="22">
        <v>2013</v>
      </c>
      <c r="X79" s="82"/>
    </row>
    <row r="80" spans="1:24" s="83" customFormat="1" ht="63.75">
      <c r="A80" s="22" t="s">
        <v>349</v>
      </c>
      <c r="B80" s="87" t="s">
        <v>422</v>
      </c>
      <c r="C80" s="15" t="s">
        <v>325</v>
      </c>
      <c r="D80" s="15" t="s">
        <v>326</v>
      </c>
      <c r="E80" s="15" t="s">
        <v>327</v>
      </c>
      <c r="F80" s="15" t="s">
        <v>328</v>
      </c>
      <c r="G80" s="221" t="s">
        <v>944</v>
      </c>
      <c r="H80" s="22">
        <v>0</v>
      </c>
      <c r="I80" s="196">
        <v>41518</v>
      </c>
      <c r="J80" s="65" t="s">
        <v>136</v>
      </c>
      <c r="K80" s="17" t="s">
        <v>522</v>
      </c>
      <c r="L80" s="217" t="s">
        <v>350</v>
      </c>
      <c r="M80" s="15" t="s">
        <v>357</v>
      </c>
      <c r="N80" s="15">
        <v>1</v>
      </c>
      <c r="O80" s="15">
        <v>1</v>
      </c>
      <c r="P80" s="219"/>
      <c r="Q80" s="210"/>
      <c r="R80" s="72"/>
      <c r="S80" s="33">
        <v>400000</v>
      </c>
      <c r="T80" s="121">
        <v>800000</v>
      </c>
      <c r="U80" s="37">
        <f t="shared" si="4"/>
        <v>896000.0000000001</v>
      </c>
      <c r="V80" s="22"/>
      <c r="W80" s="22">
        <v>2013</v>
      </c>
      <c r="X80" s="82"/>
    </row>
    <row r="81" spans="1:24" s="83" customFormat="1" ht="89.25">
      <c r="A81" s="22" t="s">
        <v>1056</v>
      </c>
      <c r="B81" s="87" t="s">
        <v>422</v>
      </c>
      <c r="C81" s="65" t="s">
        <v>429</v>
      </c>
      <c r="D81" s="65" t="s">
        <v>430</v>
      </c>
      <c r="E81" s="65" t="s">
        <v>431</v>
      </c>
      <c r="F81" s="65" t="s">
        <v>1057</v>
      </c>
      <c r="G81" s="221" t="s">
        <v>257</v>
      </c>
      <c r="H81" s="22">
        <v>0</v>
      </c>
      <c r="I81" s="196" t="s">
        <v>1054</v>
      </c>
      <c r="J81" s="65" t="s">
        <v>1058</v>
      </c>
      <c r="K81" s="23" t="s">
        <v>170</v>
      </c>
      <c r="L81" s="217" t="s">
        <v>1059</v>
      </c>
      <c r="M81" s="15" t="s">
        <v>357</v>
      </c>
      <c r="N81" s="15">
        <v>0</v>
      </c>
      <c r="O81" s="15">
        <v>3</v>
      </c>
      <c r="P81" s="219"/>
      <c r="Q81" s="210"/>
      <c r="R81" s="72"/>
      <c r="S81" s="33">
        <v>20000000</v>
      </c>
      <c r="T81" s="121">
        <v>0</v>
      </c>
      <c r="U81" s="37">
        <f>T81*1.12</f>
        <v>0</v>
      </c>
      <c r="V81" s="22"/>
      <c r="W81" s="22">
        <v>2013</v>
      </c>
      <c r="X81" s="22" t="s">
        <v>1102</v>
      </c>
    </row>
    <row r="82" spans="1:24" s="83" customFormat="1" ht="89.25">
      <c r="A82" s="22" t="s">
        <v>1100</v>
      </c>
      <c r="B82" s="87" t="s">
        <v>422</v>
      </c>
      <c r="C82" s="65" t="s">
        <v>429</v>
      </c>
      <c r="D82" s="65" t="s">
        <v>430</v>
      </c>
      <c r="E82" s="65" t="s">
        <v>431</v>
      </c>
      <c r="F82" s="65" t="s">
        <v>1057</v>
      </c>
      <c r="G82" s="221" t="s">
        <v>257</v>
      </c>
      <c r="H82" s="22">
        <v>0</v>
      </c>
      <c r="I82" s="196" t="s">
        <v>1054</v>
      </c>
      <c r="J82" s="65" t="s">
        <v>1058</v>
      </c>
      <c r="K82" s="23" t="s">
        <v>170</v>
      </c>
      <c r="L82" s="217" t="s">
        <v>1059</v>
      </c>
      <c r="M82" s="15" t="s">
        <v>357</v>
      </c>
      <c r="N82" s="15">
        <v>0</v>
      </c>
      <c r="O82" s="15">
        <v>3</v>
      </c>
      <c r="P82" s="219"/>
      <c r="Q82" s="210"/>
      <c r="R82" s="72"/>
      <c r="S82" s="33">
        <v>20200000</v>
      </c>
      <c r="T82" s="121">
        <f>O82*S82</f>
        <v>60600000</v>
      </c>
      <c r="U82" s="37">
        <f>T82*1.12</f>
        <v>67872000</v>
      </c>
      <c r="V82" s="22"/>
      <c r="W82" s="22">
        <v>2013</v>
      </c>
      <c r="X82" s="82"/>
    </row>
    <row r="83" spans="1:24" ht="12.75">
      <c r="A83" s="47" t="s">
        <v>475</v>
      </c>
      <c r="B83" s="48"/>
      <c r="C83" s="48"/>
      <c r="D83" s="315"/>
      <c r="E83" s="48"/>
      <c r="F83" s="316"/>
      <c r="G83" s="52"/>
      <c r="H83" s="48"/>
      <c r="I83" s="52"/>
      <c r="J83" s="53"/>
      <c r="K83" s="53"/>
      <c r="L83" s="53"/>
      <c r="M83" s="48"/>
      <c r="N83" s="48"/>
      <c r="O83" s="48"/>
      <c r="P83" s="48"/>
      <c r="Q83" s="48"/>
      <c r="R83" s="48"/>
      <c r="S83" s="48"/>
      <c r="T83" s="54">
        <f>SUM(T13:T82)</f>
        <v>153705621508.90686</v>
      </c>
      <c r="U83" s="55">
        <f>T83*1.12</f>
        <v>172150296089.9757</v>
      </c>
      <c r="V83" s="48"/>
      <c r="W83" s="51"/>
      <c r="X83" s="48"/>
    </row>
    <row r="84" spans="1:24" ht="12.75">
      <c r="A84" s="142" t="s">
        <v>183</v>
      </c>
      <c r="B84" s="143"/>
      <c r="C84" s="143"/>
      <c r="D84" s="317"/>
      <c r="E84" s="318"/>
      <c r="F84" s="319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96"/>
      <c r="V84" s="143"/>
      <c r="W84" s="143"/>
      <c r="X84" s="143"/>
    </row>
    <row r="85" spans="1:24" s="41" customFormat="1" ht="63.75">
      <c r="A85" s="22" t="s">
        <v>710</v>
      </c>
      <c r="B85" s="22" t="s">
        <v>422</v>
      </c>
      <c r="C85" s="87"/>
      <c r="D85" s="23" t="s">
        <v>489</v>
      </c>
      <c r="E85" s="23" t="s">
        <v>247</v>
      </c>
      <c r="F85" s="22"/>
      <c r="G85" s="281" t="s">
        <v>242</v>
      </c>
      <c r="H85" s="22">
        <v>0</v>
      </c>
      <c r="I85" s="21" t="s">
        <v>181</v>
      </c>
      <c r="J85" s="23" t="s">
        <v>248</v>
      </c>
      <c r="K85" s="22"/>
      <c r="L85" s="23" t="s">
        <v>239</v>
      </c>
      <c r="M85" s="22"/>
      <c r="N85" s="62">
        <v>81378000</v>
      </c>
      <c r="O85" s="62">
        <v>40689000</v>
      </c>
      <c r="P85" s="62"/>
      <c r="Q85" s="62"/>
      <c r="R85" s="62"/>
      <c r="S85" s="62"/>
      <c r="T85" s="19">
        <v>210600000</v>
      </c>
      <c r="U85" s="37">
        <f aca="true" t="shared" si="5" ref="U85:U103">T85*1.21</f>
        <v>254826000</v>
      </c>
      <c r="V85" s="22"/>
      <c r="W85" s="20">
        <v>2012</v>
      </c>
      <c r="X85" s="22"/>
    </row>
    <row r="86" spans="1:24" ht="100.5" customHeight="1">
      <c r="A86" s="22" t="s">
        <v>711</v>
      </c>
      <c r="B86" s="22" t="s">
        <v>422</v>
      </c>
      <c r="C86" s="87"/>
      <c r="D86" s="35" t="s">
        <v>488</v>
      </c>
      <c r="E86" s="35" t="s">
        <v>249</v>
      </c>
      <c r="F86" s="22"/>
      <c r="G86" s="281" t="s">
        <v>242</v>
      </c>
      <c r="H86" s="22">
        <v>0</v>
      </c>
      <c r="I86" s="14" t="s">
        <v>186</v>
      </c>
      <c r="J86" s="23" t="s">
        <v>250</v>
      </c>
      <c r="K86" s="22"/>
      <c r="L86" s="23" t="s">
        <v>218</v>
      </c>
      <c r="M86" s="22"/>
      <c r="N86" s="64">
        <v>43956000</v>
      </c>
      <c r="O86" s="62"/>
      <c r="P86" s="62"/>
      <c r="Q86" s="62"/>
      <c r="R86" s="62"/>
      <c r="S86" s="62"/>
      <c r="T86" s="37">
        <v>111300000</v>
      </c>
      <c r="U86" s="37">
        <f t="shared" si="5"/>
        <v>134673000</v>
      </c>
      <c r="V86" s="22"/>
      <c r="W86" s="20">
        <v>2012</v>
      </c>
      <c r="X86" s="22"/>
    </row>
    <row r="87" spans="1:24" ht="94.5" customHeight="1">
      <c r="A87" s="22" t="s">
        <v>712</v>
      </c>
      <c r="B87" s="22" t="s">
        <v>422</v>
      </c>
      <c r="C87" s="258" t="s">
        <v>827</v>
      </c>
      <c r="D87" s="122" t="s">
        <v>828</v>
      </c>
      <c r="E87" s="122" t="s">
        <v>829</v>
      </c>
      <c r="F87" s="22" t="s">
        <v>438</v>
      </c>
      <c r="G87" s="278" t="s">
        <v>242</v>
      </c>
      <c r="H87" s="22">
        <v>0</v>
      </c>
      <c r="I87" s="21" t="s">
        <v>182</v>
      </c>
      <c r="J87" s="22" t="s">
        <v>233</v>
      </c>
      <c r="K87" s="22"/>
      <c r="L87" s="22" t="s">
        <v>439</v>
      </c>
      <c r="M87" s="22"/>
      <c r="N87" s="62">
        <v>239750796.7</v>
      </c>
      <c r="O87" s="62">
        <v>239750796.7</v>
      </c>
      <c r="P87" s="62">
        <v>239750796.7</v>
      </c>
      <c r="Q87" s="62"/>
      <c r="R87" s="62"/>
      <c r="S87" s="62"/>
      <c r="T87" s="37">
        <f>N87+O87+P87</f>
        <v>719252390.0999999</v>
      </c>
      <c r="U87" s="37">
        <f t="shared" si="5"/>
        <v>870295392.0209999</v>
      </c>
      <c r="V87" s="22"/>
      <c r="W87" s="20">
        <v>2012</v>
      </c>
      <c r="X87" s="22"/>
    </row>
    <row r="88" spans="1:24" ht="76.5" customHeight="1">
      <c r="A88" s="22" t="s">
        <v>713</v>
      </c>
      <c r="B88" s="22" t="s">
        <v>422</v>
      </c>
      <c r="C88" s="258" t="s">
        <v>827</v>
      </c>
      <c r="D88" s="122" t="s">
        <v>828</v>
      </c>
      <c r="E88" s="122" t="s">
        <v>829</v>
      </c>
      <c r="F88" s="22" t="s">
        <v>440</v>
      </c>
      <c r="G88" s="278" t="s">
        <v>242</v>
      </c>
      <c r="H88" s="22">
        <v>0</v>
      </c>
      <c r="I88" s="21" t="s">
        <v>182</v>
      </c>
      <c r="J88" s="22" t="s">
        <v>233</v>
      </c>
      <c r="K88" s="22"/>
      <c r="L88" s="22" t="s">
        <v>439</v>
      </c>
      <c r="M88" s="22"/>
      <c r="N88" s="62">
        <v>252562373</v>
      </c>
      <c r="O88" s="62">
        <v>252562373</v>
      </c>
      <c r="P88" s="62">
        <v>252562373</v>
      </c>
      <c r="Q88" s="62"/>
      <c r="R88" s="62"/>
      <c r="S88" s="62"/>
      <c r="T88" s="37">
        <f>N88+O88+P88</f>
        <v>757687119</v>
      </c>
      <c r="U88" s="37">
        <f t="shared" si="5"/>
        <v>916801413.99</v>
      </c>
      <c r="V88" s="22"/>
      <c r="W88" s="20">
        <v>2012</v>
      </c>
      <c r="X88" s="22"/>
    </row>
    <row r="89" spans="1:24" ht="74.25" customHeight="1">
      <c r="A89" s="22" t="s">
        <v>714</v>
      </c>
      <c r="B89" s="22" t="s">
        <v>422</v>
      </c>
      <c r="C89" s="258" t="s">
        <v>827</v>
      </c>
      <c r="D89" s="122" t="s">
        <v>828</v>
      </c>
      <c r="E89" s="122" t="s">
        <v>829</v>
      </c>
      <c r="F89" s="22" t="s">
        <v>441</v>
      </c>
      <c r="G89" s="278" t="s">
        <v>242</v>
      </c>
      <c r="H89" s="22">
        <v>0</v>
      </c>
      <c r="I89" s="21" t="s">
        <v>182</v>
      </c>
      <c r="J89" s="22" t="s">
        <v>233</v>
      </c>
      <c r="K89" s="22"/>
      <c r="L89" s="22" t="s">
        <v>439</v>
      </c>
      <c r="M89" s="22"/>
      <c r="N89" s="62">
        <v>591157755</v>
      </c>
      <c r="O89" s="62">
        <v>591157755</v>
      </c>
      <c r="P89" s="62">
        <v>591157755</v>
      </c>
      <c r="Q89" s="62"/>
      <c r="R89" s="62"/>
      <c r="S89" s="62"/>
      <c r="T89" s="37">
        <f>N89+O89+P89</f>
        <v>1773473265</v>
      </c>
      <c r="U89" s="37">
        <f t="shared" si="5"/>
        <v>2145902650.6499999</v>
      </c>
      <c r="V89" s="22"/>
      <c r="W89" s="20">
        <v>2012</v>
      </c>
      <c r="X89" s="22"/>
    </row>
    <row r="90" spans="1:24" ht="56.25" customHeight="1">
      <c r="A90" s="22" t="s">
        <v>715</v>
      </c>
      <c r="B90" s="22" t="s">
        <v>422</v>
      </c>
      <c r="C90" s="258" t="s">
        <v>827</v>
      </c>
      <c r="D90" s="122" t="s">
        <v>828</v>
      </c>
      <c r="E90" s="122" t="s">
        <v>829</v>
      </c>
      <c r="F90" s="22" t="s">
        <v>442</v>
      </c>
      <c r="G90" s="278" t="s">
        <v>242</v>
      </c>
      <c r="H90" s="22">
        <v>0</v>
      </c>
      <c r="I90" s="21" t="s">
        <v>182</v>
      </c>
      <c r="J90" s="22" t="s">
        <v>233</v>
      </c>
      <c r="K90" s="22"/>
      <c r="L90" s="22" t="s">
        <v>439</v>
      </c>
      <c r="M90" s="22"/>
      <c r="N90" s="62">
        <v>21417858</v>
      </c>
      <c r="O90" s="62">
        <v>24796069</v>
      </c>
      <c r="P90" s="62">
        <v>24796069</v>
      </c>
      <c r="Q90" s="62"/>
      <c r="R90" s="62"/>
      <c r="S90" s="62"/>
      <c r="T90" s="37">
        <f aca="true" t="shared" si="6" ref="T90:T102">N90+O90+P90</f>
        <v>71009996</v>
      </c>
      <c r="U90" s="37">
        <f t="shared" si="5"/>
        <v>85922095.16</v>
      </c>
      <c r="V90" s="22"/>
      <c r="W90" s="20">
        <v>2012</v>
      </c>
      <c r="X90" s="22"/>
    </row>
    <row r="91" spans="1:24" ht="70.5" customHeight="1">
      <c r="A91" s="22" t="s">
        <v>716</v>
      </c>
      <c r="B91" s="22" t="s">
        <v>422</v>
      </c>
      <c r="C91" s="258" t="s">
        <v>827</v>
      </c>
      <c r="D91" s="122" t="s">
        <v>828</v>
      </c>
      <c r="E91" s="122" t="s">
        <v>829</v>
      </c>
      <c r="F91" s="22" t="s">
        <v>443</v>
      </c>
      <c r="G91" s="278" t="s">
        <v>242</v>
      </c>
      <c r="H91" s="22">
        <v>0</v>
      </c>
      <c r="I91" s="21" t="s">
        <v>182</v>
      </c>
      <c r="J91" s="22" t="s">
        <v>233</v>
      </c>
      <c r="K91" s="22"/>
      <c r="L91" s="22" t="s">
        <v>439</v>
      </c>
      <c r="M91" s="22"/>
      <c r="N91" s="62">
        <v>15326813</v>
      </c>
      <c r="O91" s="62">
        <v>15326813</v>
      </c>
      <c r="P91" s="62">
        <v>15326813</v>
      </c>
      <c r="Q91" s="62"/>
      <c r="R91" s="62"/>
      <c r="S91" s="62"/>
      <c r="T91" s="37">
        <f t="shared" si="6"/>
        <v>45980439</v>
      </c>
      <c r="U91" s="37">
        <f t="shared" si="5"/>
        <v>55636331.19</v>
      </c>
      <c r="V91" s="22"/>
      <c r="W91" s="20">
        <v>2012</v>
      </c>
      <c r="X91" s="22"/>
    </row>
    <row r="92" spans="1:24" ht="70.5" customHeight="1">
      <c r="A92" s="22" t="s">
        <v>717</v>
      </c>
      <c r="B92" s="22" t="s">
        <v>422</v>
      </c>
      <c r="C92" s="258" t="s">
        <v>827</v>
      </c>
      <c r="D92" s="122" t="s">
        <v>828</v>
      </c>
      <c r="E92" s="122" t="s">
        <v>829</v>
      </c>
      <c r="F92" s="22" t="s">
        <v>444</v>
      </c>
      <c r="G92" s="278" t="s">
        <v>242</v>
      </c>
      <c r="H92" s="22">
        <v>0</v>
      </c>
      <c r="I92" s="21" t="s">
        <v>182</v>
      </c>
      <c r="J92" s="22" t="s">
        <v>233</v>
      </c>
      <c r="K92" s="22"/>
      <c r="L92" s="22" t="s">
        <v>439</v>
      </c>
      <c r="M92" s="22"/>
      <c r="N92" s="62">
        <v>60445867</v>
      </c>
      <c r="O92" s="62">
        <v>60445867</v>
      </c>
      <c r="P92" s="62">
        <v>60445867</v>
      </c>
      <c r="Q92" s="62"/>
      <c r="R92" s="62"/>
      <c r="S92" s="62"/>
      <c r="T92" s="37">
        <f t="shared" si="6"/>
        <v>181337601</v>
      </c>
      <c r="U92" s="37">
        <f t="shared" si="5"/>
        <v>219418497.21</v>
      </c>
      <c r="V92" s="22"/>
      <c r="W92" s="20">
        <v>2012</v>
      </c>
      <c r="X92" s="22"/>
    </row>
    <row r="93" spans="1:24" ht="70.5" customHeight="1">
      <c r="A93" s="22" t="s">
        <v>395</v>
      </c>
      <c r="B93" s="22" t="s">
        <v>422</v>
      </c>
      <c r="C93" s="258" t="s">
        <v>827</v>
      </c>
      <c r="D93" s="122" t="s">
        <v>828</v>
      </c>
      <c r="E93" s="122" t="s">
        <v>829</v>
      </c>
      <c r="F93" s="122" t="s">
        <v>396</v>
      </c>
      <c r="G93" s="278" t="s">
        <v>242</v>
      </c>
      <c r="H93" s="22">
        <v>0</v>
      </c>
      <c r="I93" s="420" t="s">
        <v>397</v>
      </c>
      <c r="J93" s="218" t="s">
        <v>894</v>
      </c>
      <c r="K93" s="22"/>
      <c r="L93" s="17" t="s">
        <v>234</v>
      </c>
      <c r="M93" s="22"/>
      <c r="N93" s="371"/>
      <c r="O93" s="351">
        <v>0</v>
      </c>
      <c r="P93" s="351">
        <v>0</v>
      </c>
      <c r="Q93" s="351">
        <v>0</v>
      </c>
      <c r="R93" s="351">
        <v>0</v>
      </c>
      <c r="S93" s="62"/>
      <c r="T93" s="37">
        <v>0</v>
      </c>
      <c r="U93" s="37">
        <f>T93*1.21</f>
        <v>0</v>
      </c>
      <c r="V93" s="22"/>
      <c r="W93" s="20">
        <v>2013</v>
      </c>
      <c r="X93" s="22" t="s">
        <v>1064</v>
      </c>
    </row>
    <row r="94" spans="1:24" ht="70.5" customHeight="1">
      <c r="A94" s="22" t="s">
        <v>1063</v>
      </c>
      <c r="B94" s="22" t="s">
        <v>422</v>
      </c>
      <c r="C94" s="258" t="s">
        <v>827</v>
      </c>
      <c r="D94" s="122" t="s">
        <v>828</v>
      </c>
      <c r="E94" s="122" t="s">
        <v>829</v>
      </c>
      <c r="F94" s="122" t="s">
        <v>396</v>
      </c>
      <c r="G94" s="278" t="s">
        <v>242</v>
      </c>
      <c r="H94" s="22">
        <v>0</v>
      </c>
      <c r="I94" s="420" t="s">
        <v>1065</v>
      </c>
      <c r="J94" s="218" t="s">
        <v>894</v>
      </c>
      <c r="K94" s="22"/>
      <c r="L94" s="17" t="s">
        <v>234</v>
      </c>
      <c r="M94" s="22"/>
      <c r="N94" s="371"/>
      <c r="O94" s="351">
        <v>96000000</v>
      </c>
      <c r="P94" s="351">
        <v>96000000</v>
      </c>
      <c r="Q94" s="351">
        <v>96000000</v>
      </c>
      <c r="R94" s="351">
        <v>96000000</v>
      </c>
      <c r="S94" s="62"/>
      <c r="T94" s="37">
        <v>480000000</v>
      </c>
      <c r="U94" s="37">
        <f>T94*1.21</f>
        <v>580800000</v>
      </c>
      <c r="V94" s="22"/>
      <c r="W94" s="20">
        <v>2013</v>
      </c>
      <c r="X94" s="22"/>
    </row>
    <row r="95" spans="1:24" ht="68.25" customHeight="1">
      <c r="A95" s="22" t="s">
        <v>718</v>
      </c>
      <c r="B95" s="22" t="s">
        <v>422</v>
      </c>
      <c r="C95" s="258" t="s">
        <v>827</v>
      </c>
      <c r="D95" s="122" t="s">
        <v>828</v>
      </c>
      <c r="E95" s="122" t="s">
        <v>829</v>
      </c>
      <c r="F95" s="22" t="s">
        <v>445</v>
      </c>
      <c r="G95" s="278" t="s">
        <v>242</v>
      </c>
      <c r="H95" s="22">
        <v>0</v>
      </c>
      <c r="I95" s="21" t="s">
        <v>182</v>
      </c>
      <c r="J95" s="22" t="s">
        <v>233</v>
      </c>
      <c r="K95" s="22"/>
      <c r="L95" s="22" t="s">
        <v>439</v>
      </c>
      <c r="M95" s="22"/>
      <c r="N95" s="62">
        <v>62523383</v>
      </c>
      <c r="O95" s="62">
        <v>62523383</v>
      </c>
      <c r="P95" s="62">
        <v>62523383</v>
      </c>
      <c r="Q95" s="62"/>
      <c r="R95" s="62"/>
      <c r="S95" s="62"/>
      <c r="T95" s="37">
        <f t="shared" si="6"/>
        <v>187570149</v>
      </c>
      <c r="U95" s="37">
        <f t="shared" si="5"/>
        <v>226959880.29</v>
      </c>
      <c r="V95" s="22"/>
      <c r="W95" s="20">
        <v>2012</v>
      </c>
      <c r="X95" s="22"/>
    </row>
    <row r="96" spans="1:24" ht="59.25" customHeight="1">
      <c r="A96" s="22" t="s">
        <v>719</v>
      </c>
      <c r="B96" s="22" t="s">
        <v>422</v>
      </c>
      <c r="C96" s="87"/>
      <c r="D96" s="23" t="s">
        <v>187</v>
      </c>
      <c r="E96" s="22"/>
      <c r="F96" s="22"/>
      <c r="G96" s="278" t="s">
        <v>242</v>
      </c>
      <c r="H96" s="22">
        <v>0</v>
      </c>
      <c r="I96" s="21" t="s">
        <v>182</v>
      </c>
      <c r="J96" s="22" t="s">
        <v>233</v>
      </c>
      <c r="K96" s="22"/>
      <c r="L96" s="22" t="s">
        <v>439</v>
      </c>
      <c r="M96" s="22"/>
      <c r="N96" s="62">
        <v>351281667</v>
      </c>
      <c r="O96" s="62">
        <v>351281667</v>
      </c>
      <c r="P96" s="62">
        <v>351281667</v>
      </c>
      <c r="Q96" s="62"/>
      <c r="R96" s="62"/>
      <c r="S96" s="62"/>
      <c r="T96" s="37">
        <f t="shared" si="6"/>
        <v>1053845001</v>
      </c>
      <c r="U96" s="37">
        <f t="shared" si="5"/>
        <v>1275152451.21</v>
      </c>
      <c r="V96" s="22"/>
      <c r="W96" s="20">
        <v>2012</v>
      </c>
      <c r="X96" s="22"/>
    </row>
    <row r="97" spans="1:24" ht="54" customHeight="1">
      <c r="A97" s="22" t="s">
        <v>720</v>
      </c>
      <c r="B97" s="22" t="s">
        <v>422</v>
      </c>
      <c r="C97" s="259" t="s">
        <v>830</v>
      </c>
      <c r="D97" s="122" t="s">
        <v>831</v>
      </c>
      <c r="E97" s="122" t="s">
        <v>831</v>
      </c>
      <c r="F97" s="22" t="s">
        <v>456</v>
      </c>
      <c r="G97" s="278" t="s">
        <v>242</v>
      </c>
      <c r="H97" s="22">
        <v>0</v>
      </c>
      <c r="I97" s="21" t="s">
        <v>182</v>
      </c>
      <c r="J97" s="22" t="s">
        <v>233</v>
      </c>
      <c r="K97" s="22"/>
      <c r="L97" s="22" t="s">
        <v>439</v>
      </c>
      <c r="M97" s="22"/>
      <c r="N97" s="62">
        <v>52715042</v>
      </c>
      <c r="O97" s="62">
        <v>190962167</v>
      </c>
      <c r="P97" s="62">
        <v>190962167</v>
      </c>
      <c r="Q97" s="62"/>
      <c r="R97" s="62"/>
      <c r="S97" s="62"/>
      <c r="T97" s="37">
        <f t="shared" si="6"/>
        <v>434639376</v>
      </c>
      <c r="U97" s="37">
        <f t="shared" si="5"/>
        <v>525913644.96</v>
      </c>
      <c r="V97" s="22"/>
      <c r="W97" s="20">
        <v>2012</v>
      </c>
      <c r="X97" s="22"/>
    </row>
    <row r="98" spans="1:24" ht="47.25" customHeight="1">
      <c r="A98" s="22" t="s">
        <v>721</v>
      </c>
      <c r="B98" s="22" t="s">
        <v>422</v>
      </c>
      <c r="C98" s="259" t="s">
        <v>830</v>
      </c>
      <c r="D98" s="122" t="s">
        <v>831</v>
      </c>
      <c r="E98" s="122" t="s">
        <v>831</v>
      </c>
      <c r="F98" s="22" t="s">
        <v>457</v>
      </c>
      <c r="G98" s="278" t="s">
        <v>242</v>
      </c>
      <c r="H98" s="22">
        <v>0</v>
      </c>
      <c r="I98" s="21" t="s">
        <v>182</v>
      </c>
      <c r="J98" s="22" t="s">
        <v>233</v>
      </c>
      <c r="K98" s="22"/>
      <c r="L98" s="22" t="s">
        <v>439</v>
      </c>
      <c r="M98" s="22"/>
      <c r="N98" s="62">
        <v>4133333</v>
      </c>
      <c r="O98" s="62">
        <v>4133333</v>
      </c>
      <c r="P98" s="62">
        <v>4133333</v>
      </c>
      <c r="Q98" s="62"/>
      <c r="R98" s="62"/>
      <c r="S98" s="62"/>
      <c r="T98" s="37">
        <f t="shared" si="6"/>
        <v>12399999</v>
      </c>
      <c r="U98" s="37">
        <f t="shared" si="5"/>
        <v>15003998.79</v>
      </c>
      <c r="V98" s="22"/>
      <c r="W98" s="20">
        <v>2012</v>
      </c>
      <c r="X98" s="22"/>
    </row>
    <row r="99" spans="1:24" ht="51.75" customHeight="1">
      <c r="A99" s="22" t="s">
        <v>722</v>
      </c>
      <c r="B99" s="22" t="s">
        <v>422</v>
      </c>
      <c r="C99" s="259" t="s">
        <v>830</v>
      </c>
      <c r="D99" s="122" t="s">
        <v>831</v>
      </c>
      <c r="E99" s="122" t="s">
        <v>831</v>
      </c>
      <c r="F99" s="22" t="s">
        <v>458</v>
      </c>
      <c r="G99" s="278" t="s">
        <v>242</v>
      </c>
      <c r="H99" s="22">
        <v>0</v>
      </c>
      <c r="I99" s="21" t="s">
        <v>182</v>
      </c>
      <c r="J99" s="22" t="s">
        <v>233</v>
      </c>
      <c r="K99" s="22"/>
      <c r="L99" s="22" t="s">
        <v>439</v>
      </c>
      <c r="M99" s="22"/>
      <c r="N99" s="62">
        <v>289581488</v>
      </c>
      <c r="O99" s="62">
        <v>289581488</v>
      </c>
      <c r="P99" s="62">
        <v>289581488</v>
      </c>
      <c r="Q99" s="62"/>
      <c r="R99" s="62"/>
      <c r="S99" s="62"/>
      <c r="T99" s="37">
        <f t="shared" si="6"/>
        <v>868744464</v>
      </c>
      <c r="U99" s="37">
        <f t="shared" si="5"/>
        <v>1051180801.4399999</v>
      </c>
      <c r="V99" s="22"/>
      <c r="W99" s="20">
        <v>2012</v>
      </c>
      <c r="X99" s="22"/>
    </row>
    <row r="100" spans="1:24" ht="55.5" customHeight="1">
      <c r="A100" s="22" t="s">
        <v>723</v>
      </c>
      <c r="B100" s="22" t="s">
        <v>422</v>
      </c>
      <c r="C100" s="259" t="s">
        <v>832</v>
      </c>
      <c r="D100" s="122" t="s">
        <v>828</v>
      </c>
      <c r="E100" s="122" t="s">
        <v>833</v>
      </c>
      <c r="F100" s="22" t="s">
        <v>459</v>
      </c>
      <c r="G100" s="278" t="s">
        <v>242</v>
      </c>
      <c r="H100" s="22">
        <v>0</v>
      </c>
      <c r="I100" s="21" t="s">
        <v>182</v>
      </c>
      <c r="J100" s="22" t="s">
        <v>233</v>
      </c>
      <c r="K100" s="22"/>
      <c r="L100" s="22" t="s">
        <v>439</v>
      </c>
      <c r="M100" s="22"/>
      <c r="N100" s="62">
        <v>118739713</v>
      </c>
      <c r="O100" s="62">
        <v>118739713</v>
      </c>
      <c r="P100" s="62">
        <v>118739713</v>
      </c>
      <c r="Q100" s="62"/>
      <c r="R100" s="62"/>
      <c r="S100" s="62"/>
      <c r="T100" s="37">
        <f t="shared" si="6"/>
        <v>356219139</v>
      </c>
      <c r="U100" s="37">
        <f t="shared" si="5"/>
        <v>431025158.19</v>
      </c>
      <c r="V100" s="22"/>
      <c r="W100" s="20">
        <v>2012</v>
      </c>
      <c r="X100" s="22"/>
    </row>
    <row r="101" spans="1:24" ht="54.75" customHeight="1">
      <c r="A101" s="22" t="s">
        <v>724</v>
      </c>
      <c r="B101" s="22" t="s">
        <v>422</v>
      </c>
      <c r="C101" s="259" t="s">
        <v>832</v>
      </c>
      <c r="D101" s="122" t="s">
        <v>828</v>
      </c>
      <c r="E101" s="122" t="s">
        <v>833</v>
      </c>
      <c r="F101" s="22" t="s">
        <v>460</v>
      </c>
      <c r="G101" s="278" t="s">
        <v>242</v>
      </c>
      <c r="H101" s="22">
        <v>0</v>
      </c>
      <c r="I101" s="21" t="s">
        <v>182</v>
      </c>
      <c r="J101" s="22" t="s">
        <v>233</v>
      </c>
      <c r="K101" s="22"/>
      <c r="L101" s="22" t="s">
        <v>439</v>
      </c>
      <c r="M101" s="22"/>
      <c r="N101" s="62">
        <v>24354000</v>
      </c>
      <c r="O101" s="62">
        <v>24354000</v>
      </c>
      <c r="P101" s="62">
        <v>24354000</v>
      </c>
      <c r="Q101" s="62"/>
      <c r="R101" s="62"/>
      <c r="S101" s="62"/>
      <c r="T101" s="37">
        <f t="shared" si="6"/>
        <v>73062000</v>
      </c>
      <c r="U101" s="37">
        <f t="shared" si="5"/>
        <v>88405020</v>
      </c>
      <c r="V101" s="22"/>
      <c r="W101" s="20">
        <v>2012</v>
      </c>
      <c r="X101" s="22"/>
    </row>
    <row r="102" spans="1:24" ht="51" customHeight="1">
      <c r="A102" s="22" t="s">
        <v>725</v>
      </c>
      <c r="B102" s="22" t="s">
        <v>422</v>
      </c>
      <c r="C102" s="259" t="s">
        <v>832</v>
      </c>
      <c r="D102" s="122" t="s">
        <v>828</v>
      </c>
      <c r="E102" s="122" t="s">
        <v>833</v>
      </c>
      <c r="F102" s="22" t="s">
        <v>461</v>
      </c>
      <c r="G102" s="278" t="s">
        <v>242</v>
      </c>
      <c r="H102" s="22">
        <v>0</v>
      </c>
      <c r="I102" s="21" t="s">
        <v>182</v>
      </c>
      <c r="J102" s="22" t="s">
        <v>233</v>
      </c>
      <c r="K102" s="22"/>
      <c r="L102" s="22" t="s">
        <v>439</v>
      </c>
      <c r="M102" s="22"/>
      <c r="N102" s="62">
        <v>51650237</v>
      </c>
      <c r="O102" s="62">
        <v>51650237</v>
      </c>
      <c r="P102" s="62">
        <v>51650237</v>
      </c>
      <c r="Q102" s="62"/>
      <c r="R102" s="62"/>
      <c r="S102" s="62"/>
      <c r="T102" s="37">
        <f t="shared" si="6"/>
        <v>154950711</v>
      </c>
      <c r="U102" s="37">
        <f t="shared" si="5"/>
        <v>187490360.31</v>
      </c>
      <c r="V102" s="22"/>
      <c r="W102" s="20">
        <v>2012</v>
      </c>
      <c r="X102" s="22"/>
    </row>
    <row r="103" spans="1:24" ht="51" customHeight="1">
      <c r="A103" s="22" t="s">
        <v>168</v>
      </c>
      <c r="B103" s="22" t="s">
        <v>422</v>
      </c>
      <c r="C103" s="259" t="s">
        <v>832</v>
      </c>
      <c r="D103" s="122" t="s">
        <v>828</v>
      </c>
      <c r="E103" s="122" t="s">
        <v>833</v>
      </c>
      <c r="F103" s="374" t="s">
        <v>167</v>
      </c>
      <c r="G103" s="278" t="s">
        <v>242</v>
      </c>
      <c r="H103" s="22">
        <v>0</v>
      </c>
      <c r="I103" s="377">
        <v>41183</v>
      </c>
      <c r="J103" s="22" t="s">
        <v>233</v>
      </c>
      <c r="K103" s="22"/>
      <c r="L103" s="376" t="s">
        <v>527</v>
      </c>
      <c r="M103" s="22"/>
      <c r="N103" s="375">
        <v>72850000</v>
      </c>
      <c r="O103" s="375">
        <v>72850000</v>
      </c>
      <c r="P103" s="375">
        <v>72850000</v>
      </c>
      <c r="Q103" s="375">
        <v>72850000</v>
      </c>
      <c r="R103" s="375">
        <v>72850000</v>
      </c>
      <c r="S103" s="62"/>
      <c r="T103" s="37">
        <v>728500000</v>
      </c>
      <c r="U103" s="37">
        <f t="shared" si="5"/>
        <v>881485000</v>
      </c>
      <c r="V103" s="22"/>
      <c r="W103" s="20">
        <v>2012</v>
      </c>
      <c r="X103" s="22"/>
    </row>
    <row r="104" spans="1:24" s="41" customFormat="1" ht="51" customHeight="1">
      <c r="A104" s="22" t="s">
        <v>726</v>
      </c>
      <c r="B104" s="22" t="s">
        <v>422</v>
      </c>
      <c r="C104" s="259" t="s">
        <v>490</v>
      </c>
      <c r="D104" s="122" t="s">
        <v>491</v>
      </c>
      <c r="E104" s="122" t="s">
        <v>492</v>
      </c>
      <c r="F104" s="22" t="s">
        <v>493</v>
      </c>
      <c r="G104" s="278"/>
      <c r="H104" s="22"/>
      <c r="I104" s="21"/>
      <c r="J104" s="22"/>
      <c r="K104" s="22"/>
      <c r="L104" s="22"/>
      <c r="M104" s="22"/>
      <c r="N104" s="62"/>
      <c r="O104" s="62">
        <v>714609555</v>
      </c>
      <c r="P104" s="62">
        <v>502475000</v>
      </c>
      <c r="Q104" s="62"/>
      <c r="R104" s="62"/>
      <c r="S104" s="62"/>
      <c r="T104" s="37">
        <f>SUM(N104:R104)</f>
        <v>1217084555</v>
      </c>
      <c r="U104" s="37">
        <f>T104*1.12</f>
        <v>1363134701.6000001</v>
      </c>
      <c r="V104" s="22"/>
      <c r="W104" s="20">
        <v>2013</v>
      </c>
      <c r="X104" s="22" t="s">
        <v>1101</v>
      </c>
    </row>
    <row r="105" spans="1:24" s="41" customFormat="1" ht="51" customHeight="1">
      <c r="A105" s="22" t="s">
        <v>883</v>
      </c>
      <c r="B105" s="22" t="s">
        <v>422</v>
      </c>
      <c r="C105" s="260" t="s">
        <v>490</v>
      </c>
      <c r="D105" s="168" t="s">
        <v>491</v>
      </c>
      <c r="E105" s="168" t="s">
        <v>492</v>
      </c>
      <c r="F105" s="168" t="s">
        <v>884</v>
      </c>
      <c r="G105" s="278" t="s">
        <v>242</v>
      </c>
      <c r="H105" s="22">
        <v>0</v>
      </c>
      <c r="I105" s="21" t="s">
        <v>885</v>
      </c>
      <c r="J105" s="22" t="s">
        <v>216</v>
      </c>
      <c r="K105" s="22"/>
      <c r="L105" s="22" t="s">
        <v>886</v>
      </c>
      <c r="M105" s="22"/>
      <c r="N105" s="403"/>
      <c r="O105" s="62">
        <v>410000000</v>
      </c>
      <c r="P105" s="62"/>
      <c r="Q105" s="62"/>
      <c r="R105" s="62"/>
      <c r="S105" s="62"/>
      <c r="T105" s="37">
        <f>SUM(O105:R105)</f>
        <v>410000000</v>
      </c>
      <c r="U105" s="37">
        <f>T105*1.12</f>
        <v>459200000.00000006</v>
      </c>
      <c r="V105" s="22"/>
      <c r="W105" s="20">
        <v>2013</v>
      </c>
      <c r="X105" s="22" t="s">
        <v>973</v>
      </c>
    </row>
    <row r="106" spans="1:24" s="41" customFormat="1" ht="51" customHeight="1">
      <c r="A106" s="22" t="s">
        <v>971</v>
      </c>
      <c r="B106" s="22" t="s">
        <v>422</v>
      </c>
      <c r="C106" s="260" t="s">
        <v>490</v>
      </c>
      <c r="D106" s="168" t="s">
        <v>491</v>
      </c>
      <c r="E106" s="168" t="s">
        <v>492</v>
      </c>
      <c r="F106" s="168" t="s">
        <v>972</v>
      </c>
      <c r="G106" s="278" t="s">
        <v>242</v>
      </c>
      <c r="H106" s="22">
        <v>0</v>
      </c>
      <c r="I106" s="21" t="s">
        <v>885</v>
      </c>
      <c r="J106" s="22" t="s">
        <v>233</v>
      </c>
      <c r="K106" s="22"/>
      <c r="L106" s="22" t="s">
        <v>886</v>
      </c>
      <c r="M106" s="22"/>
      <c r="N106" s="403"/>
      <c r="O106" s="62">
        <v>190000000</v>
      </c>
      <c r="P106" s="62"/>
      <c r="Q106" s="62"/>
      <c r="R106" s="62"/>
      <c r="S106" s="62"/>
      <c r="T106" s="79">
        <f>SUM(O106:R106)</f>
        <v>190000000</v>
      </c>
      <c r="U106" s="37">
        <f>T106*1.12</f>
        <v>212800000.00000003</v>
      </c>
      <c r="V106" s="22"/>
      <c r="W106" s="20">
        <v>2013</v>
      </c>
      <c r="X106" s="22"/>
    </row>
    <row r="107" spans="1:24" ht="51" customHeight="1">
      <c r="A107" s="22" t="s">
        <v>398</v>
      </c>
      <c r="B107" s="22" t="s">
        <v>422</v>
      </c>
      <c r="C107" s="17" t="s">
        <v>830</v>
      </c>
      <c r="D107" s="17" t="s">
        <v>831</v>
      </c>
      <c r="E107" s="17" t="s">
        <v>831</v>
      </c>
      <c r="F107" s="15" t="s">
        <v>399</v>
      </c>
      <c r="G107" s="278" t="s">
        <v>257</v>
      </c>
      <c r="H107" s="22">
        <v>0</v>
      </c>
      <c r="I107" s="377">
        <v>41487</v>
      </c>
      <c r="J107" s="22" t="s">
        <v>244</v>
      </c>
      <c r="K107" s="22"/>
      <c r="L107" s="22" t="s">
        <v>400</v>
      </c>
      <c r="M107" s="22"/>
      <c r="N107" s="421">
        <v>1044962275.5</v>
      </c>
      <c r="O107" s="421">
        <v>743706859.5</v>
      </c>
      <c r="P107" s="421">
        <v>814205155.5</v>
      </c>
      <c r="Q107" s="421">
        <v>915302916</v>
      </c>
      <c r="R107" s="421">
        <v>936822793.5</v>
      </c>
      <c r="S107" s="62"/>
      <c r="T107" s="351">
        <v>0</v>
      </c>
      <c r="U107" s="37">
        <f>T107*1.21</f>
        <v>0</v>
      </c>
      <c r="V107" s="22"/>
      <c r="W107" s="20">
        <v>2013</v>
      </c>
      <c r="X107" s="22" t="s">
        <v>927</v>
      </c>
    </row>
    <row r="108" spans="1:24" ht="51" customHeight="1">
      <c r="A108" s="22" t="s">
        <v>63</v>
      </c>
      <c r="B108" s="22" t="s">
        <v>422</v>
      </c>
      <c r="C108" s="17" t="s">
        <v>830</v>
      </c>
      <c r="D108" s="17" t="s">
        <v>831</v>
      </c>
      <c r="E108" s="17" t="s">
        <v>831</v>
      </c>
      <c r="F108" s="15" t="s">
        <v>399</v>
      </c>
      <c r="G108" s="278" t="s">
        <v>257</v>
      </c>
      <c r="H108" s="22">
        <v>0</v>
      </c>
      <c r="I108" s="419" t="s">
        <v>64</v>
      </c>
      <c r="J108" s="22" t="s">
        <v>244</v>
      </c>
      <c r="K108" s="22"/>
      <c r="L108" s="22" t="s">
        <v>400</v>
      </c>
      <c r="M108" s="22"/>
      <c r="N108" s="421">
        <v>1078246259.09</v>
      </c>
      <c r="O108" s="421">
        <v>767395300.21</v>
      </c>
      <c r="P108" s="421">
        <v>840139097.49</v>
      </c>
      <c r="Q108" s="421">
        <v>944457008.88</v>
      </c>
      <c r="R108" s="421">
        <v>966662334.33</v>
      </c>
      <c r="S108" s="62"/>
      <c r="T108" s="351">
        <v>4596900000</v>
      </c>
      <c r="U108" s="37">
        <f>T108*1.21</f>
        <v>5562249000</v>
      </c>
      <c r="V108" s="22"/>
      <c r="W108" s="20">
        <v>2013</v>
      </c>
      <c r="X108" s="22"/>
    </row>
    <row r="109" spans="1:24" ht="51" customHeight="1">
      <c r="A109" s="22" t="s">
        <v>1119</v>
      </c>
      <c r="B109" s="22" t="s">
        <v>422</v>
      </c>
      <c r="C109" s="456" t="s">
        <v>827</v>
      </c>
      <c r="D109" s="457" t="s">
        <v>828</v>
      </c>
      <c r="E109" s="457" t="s">
        <v>829</v>
      </c>
      <c r="F109" s="458" t="s">
        <v>1120</v>
      </c>
      <c r="G109" s="278" t="s">
        <v>257</v>
      </c>
      <c r="H109" s="22">
        <v>0</v>
      </c>
      <c r="I109" s="419" t="s">
        <v>1071</v>
      </c>
      <c r="J109" s="22" t="s">
        <v>244</v>
      </c>
      <c r="K109" s="22"/>
      <c r="L109" s="22" t="s">
        <v>246</v>
      </c>
      <c r="M109" s="22"/>
      <c r="N109" s="421">
        <v>37500000</v>
      </c>
      <c r="O109" s="421">
        <v>112500000</v>
      </c>
      <c r="P109" s="421"/>
      <c r="Q109" s="421"/>
      <c r="R109" s="421"/>
      <c r="S109" s="62"/>
      <c r="T109" s="351">
        <v>150000000</v>
      </c>
      <c r="U109" s="37">
        <f>T109*1.21</f>
        <v>181500000</v>
      </c>
      <c r="V109" s="22"/>
      <c r="W109" s="20">
        <v>2013</v>
      </c>
      <c r="X109" s="22"/>
    </row>
    <row r="110" spans="1:24" ht="18" customHeight="1">
      <c r="A110" s="47" t="s">
        <v>475</v>
      </c>
      <c r="B110" s="48"/>
      <c r="C110" s="48"/>
      <c r="D110" s="49"/>
      <c r="E110" s="48"/>
      <c r="F110" s="316"/>
      <c r="G110" s="282"/>
      <c r="H110" s="48"/>
      <c r="I110" s="50"/>
      <c r="J110" s="49"/>
      <c r="K110" s="48"/>
      <c r="L110" s="48"/>
      <c r="M110" s="48"/>
      <c r="N110" s="48"/>
      <c r="O110" s="48"/>
      <c r="P110" s="48"/>
      <c r="Q110" s="48"/>
      <c r="R110" s="48"/>
      <c r="S110" s="48"/>
      <c r="T110" s="56">
        <f>SUM(T85:T109)</f>
        <v>14784556204.1</v>
      </c>
      <c r="U110" s="54">
        <f>T110*1.12</f>
        <v>16558702948.592003</v>
      </c>
      <c r="V110" s="48"/>
      <c r="W110" s="51"/>
      <c r="X110" s="48"/>
    </row>
    <row r="111" spans="1:24" ht="12.75">
      <c r="A111" s="142" t="s">
        <v>192</v>
      </c>
      <c r="B111" s="143"/>
      <c r="C111" s="143"/>
      <c r="D111" s="144"/>
      <c r="E111" s="318"/>
      <c r="F111" s="319"/>
      <c r="G111" s="283"/>
      <c r="H111" s="145"/>
      <c r="I111" s="31"/>
      <c r="J111" s="144"/>
      <c r="K111" s="143"/>
      <c r="L111" s="146"/>
      <c r="M111" s="143"/>
      <c r="N111" s="143"/>
      <c r="O111" s="143"/>
      <c r="P111" s="143"/>
      <c r="Q111" s="143"/>
      <c r="R111" s="143"/>
      <c r="S111" s="143"/>
      <c r="T111" s="147"/>
      <c r="U111" s="96"/>
      <c r="V111" s="143"/>
      <c r="W111" s="34"/>
      <c r="X111" s="143"/>
    </row>
    <row r="112" spans="1:24" s="41" customFormat="1" ht="76.5">
      <c r="A112" s="22" t="s">
        <v>727</v>
      </c>
      <c r="B112" s="22" t="s">
        <v>422</v>
      </c>
      <c r="C112" s="87"/>
      <c r="D112" s="22" t="s">
        <v>672</v>
      </c>
      <c r="E112" s="22" t="s">
        <v>672</v>
      </c>
      <c r="F112" s="22"/>
      <c r="G112" s="278"/>
      <c r="H112" s="22"/>
      <c r="I112" s="76"/>
      <c r="J112" s="21" t="s">
        <v>589</v>
      </c>
      <c r="K112" s="22"/>
      <c r="L112" s="77"/>
      <c r="M112" s="22"/>
      <c r="N112" s="165"/>
      <c r="O112" s="37">
        <v>3337757597</v>
      </c>
      <c r="P112" s="37">
        <v>4171817597</v>
      </c>
      <c r="Q112" s="37">
        <v>4499557097</v>
      </c>
      <c r="R112" s="37">
        <v>7118922823</v>
      </c>
      <c r="S112" s="37"/>
      <c r="T112" s="37">
        <f>N112+O112+P112+Q112+R112</f>
        <v>19128055114</v>
      </c>
      <c r="U112" s="37">
        <f>T112*1.12</f>
        <v>21423421727.68</v>
      </c>
      <c r="V112" s="22"/>
      <c r="W112" s="22">
        <v>2013</v>
      </c>
      <c r="X112" s="22" t="s">
        <v>7</v>
      </c>
    </row>
    <row r="113" spans="1:24" s="41" customFormat="1" ht="25.5">
      <c r="A113" s="22" t="s">
        <v>99</v>
      </c>
      <c r="B113" s="22" t="s">
        <v>422</v>
      </c>
      <c r="C113" s="87"/>
      <c r="D113" s="87" t="s">
        <v>672</v>
      </c>
      <c r="E113" s="67" t="s">
        <v>900</v>
      </c>
      <c r="F113" s="349"/>
      <c r="G113" s="278" t="s">
        <v>242</v>
      </c>
      <c r="H113" s="22">
        <v>0</v>
      </c>
      <c r="I113" s="176">
        <v>41365</v>
      </c>
      <c r="J113" s="177" t="s">
        <v>902</v>
      </c>
      <c r="K113" s="22"/>
      <c r="L113" s="21" t="s">
        <v>903</v>
      </c>
      <c r="M113" s="22"/>
      <c r="N113" s="165"/>
      <c r="O113" s="246">
        <v>536446000</v>
      </c>
      <c r="P113" s="247">
        <v>639137200</v>
      </c>
      <c r="Q113" s="247">
        <v>639137200</v>
      </c>
      <c r="R113" s="247">
        <v>639137200</v>
      </c>
      <c r="S113" s="37"/>
      <c r="T113" s="121">
        <v>4772800000</v>
      </c>
      <c r="U113" s="37">
        <f>T113*1.12</f>
        <v>5345536000.000001</v>
      </c>
      <c r="V113" s="22"/>
      <c r="W113" s="22">
        <v>2013</v>
      </c>
      <c r="X113" s="141"/>
    </row>
    <row r="114" spans="1:24" s="41" customFormat="1" ht="25.5">
      <c r="A114" s="22" t="s">
        <v>901</v>
      </c>
      <c r="B114" s="22" t="s">
        <v>422</v>
      </c>
      <c r="C114" s="87"/>
      <c r="D114" s="87" t="s">
        <v>672</v>
      </c>
      <c r="E114" s="15" t="s">
        <v>900</v>
      </c>
      <c r="F114" s="349"/>
      <c r="G114" s="278" t="s">
        <v>242</v>
      </c>
      <c r="H114" s="22">
        <v>0</v>
      </c>
      <c r="I114" s="176">
        <v>41365</v>
      </c>
      <c r="J114" s="177" t="s">
        <v>902</v>
      </c>
      <c r="K114" s="22"/>
      <c r="L114" s="21" t="s">
        <v>903</v>
      </c>
      <c r="M114" s="22"/>
      <c r="N114" s="165"/>
      <c r="O114" s="248">
        <v>557317500</v>
      </c>
      <c r="P114" s="248">
        <v>666757500</v>
      </c>
      <c r="Q114" s="248">
        <v>666757500</v>
      </c>
      <c r="R114" s="248">
        <v>666757500</v>
      </c>
      <c r="S114" s="37"/>
      <c r="T114" s="178">
        <v>0</v>
      </c>
      <c r="U114" s="37">
        <f>T114*1.12</f>
        <v>0</v>
      </c>
      <c r="V114" s="22"/>
      <c r="W114" s="22">
        <v>2013</v>
      </c>
      <c r="X114" s="350" t="s">
        <v>8</v>
      </c>
    </row>
    <row r="115" spans="1:24" s="41" customFormat="1" ht="25.5">
      <c r="A115" s="22" t="s">
        <v>6</v>
      </c>
      <c r="B115" s="22" t="s">
        <v>422</v>
      </c>
      <c r="C115" s="87"/>
      <c r="D115" s="87" t="s">
        <v>672</v>
      </c>
      <c r="E115" s="67" t="s">
        <v>900</v>
      </c>
      <c r="F115" s="349"/>
      <c r="G115" s="278" t="s">
        <v>242</v>
      </c>
      <c r="H115" s="22">
        <v>0</v>
      </c>
      <c r="I115" s="176">
        <v>41395</v>
      </c>
      <c r="J115" s="177" t="s">
        <v>902</v>
      </c>
      <c r="K115" s="22"/>
      <c r="L115" s="21" t="s">
        <v>903</v>
      </c>
      <c r="M115" s="22"/>
      <c r="N115" s="165"/>
      <c r="O115" s="248">
        <v>1223199733</v>
      </c>
      <c r="P115" s="248">
        <v>1267127733</v>
      </c>
      <c r="Q115" s="248">
        <v>1267127733</v>
      </c>
      <c r="R115" s="248">
        <v>1267127733</v>
      </c>
      <c r="S115" s="37"/>
      <c r="T115" s="178">
        <v>9180800000</v>
      </c>
      <c r="U115" s="37">
        <f>T115*1.12</f>
        <v>10282496000.000002</v>
      </c>
      <c r="V115" s="22"/>
      <c r="W115" s="22">
        <v>2013</v>
      </c>
      <c r="X115" s="141"/>
    </row>
    <row r="116" spans="1:24" s="41" customFormat="1" ht="38.25">
      <c r="A116" s="22" t="s">
        <v>728</v>
      </c>
      <c r="B116" s="22" t="s">
        <v>422</v>
      </c>
      <c r="C116" s="87"/>
      <c r="D116" s="348" t="s">
        <v>251</v>
      </c>
      <c r="E116" s="39" t="s">
        <v>252</v>
      </c>
      <c r="F116" s="221"/>
      <c r="G116" s="278" t="s">
        <v>242</v>
      </c>
      <c r="H116" s="22">
        <v>0</v>
      </c>
      <c r="I116" s="66" t="s">
        <v>188</v>
      </c>
      <c r="J116" s="21" t="s">
        <v>253</v>
      </c>
      <c r="K116" s="22"/>
      <c r="L116" s="21" t="s">
        <v>254</v>
      </c>
      <c r="M116" s="62"/>
      <c r="N116" s="62">
        <f>144163620.304348*10</f>
        <v>1441636203.04348</v>
      </c>
      <c r="O116" s="37">
        <f>144163620.304348*12</f>
        <v>1729963443.652176</v>
      </c>
      <c r="P116" s="37">
        <f>144163620.304348*12</f>
        <v>1729963443.652176</v>
      </c>
      <c r="Q116" s="37">
        <f>144163620.304348*12</f>
        <v>1729963443.652176</v>
      </c>
      <c r="R116" s="37"/>
      <c r="S116" s="37"/>
      <c r="T116" s="37">
        <f>N116+O116+P116+Q116+R116</f>
        <v>6631526534.000008</v>
      </c>
      <c r="U116" s="37">
        <f aca="true" t="shared" si="7" ref="U116:U145">T116*1.12</f>
        <v>7427309718.080009</v>
      </c>
      <c r="V116" s="22"/>
      <c r="W116" s="20">
        <v>2012</v>
      </c>
      <c r="X116" s="22"/>
    </row>
    <row r="117" spans="1:24" s="41" customFormat="1" ht="51">
      <c r="A117" s="22" t="s">
        <v>729</v>
      </c>
      <c r="B117" s="22" t="s">
        <v>422</v>
      </c>
      <c r="C117" s="87"/>
      <c r="D117" s="21" t="s">
        <v>255</v>
      </c>
      <c r="E117" s="39" t="s">
        <v>256</v>
      </c>
      <c r="F117" s="22"/>
      <c r="G117" s="278" t="s">
        <v>257</v>
      </c>
      <c r="H117" s="22">
        <v>0</v>
      </c>
      <c r="I117" s="21" t="s">
        <v>189</v>
      </c>
      <c r="J117" s="21" t="s">
        <v>253</v>
      </c>
      <c r="K117" s="22"/>
      <c r="L117" s="21" t="s">
        <v>254</v>
      </c>
      <c r="M117" s="62"/>
      <c r="N117" s="62">
        <f>54804824.5454545*8</f>
        <v>438438596.363636</v>
      </c>
      <c r="O117" s="62">
        <f>54804824.5454545*12</f>
        <v>657657894.545454</v>
      </c>
      <c r="P117" s="62">
        <f>54804824.5454545*12</f>
        <v>657657894.545454</v>
      </c>
      <c r="Q117" s="62">
        <f>54804824.5454545*12</f>
        <v>657657894.545454</v>
      </c>
      <c r="R117" s="62"/>
      <c r="S117" s="62"/>
      <c r="T117" s="37">
        <f>N117+O117+P117+Q117+R117</f>
        <v>2411412279.999998</v>
      </c>
      <c r="U117" s="37">
        <f t="shared" si="7"/>
        <v>2700781753.599998</v>
      </c>
      <c r="V117" s="22"/>
      <c r="W117" s="20">
        <v>2012</v>
      </c>
      <c r="X117" s="22"/>
    </row>
    <row r="118" spans="1:24" s="41" customFormat="1" ht="38.25">
      <c r="A118" s="22" t="s">
        <v>730</v>
      </c>
      <c r="B118" s="22" t="s">
        <v>422</v>
      </c>
      <c r="C118" s="87" t="s">
        <v>534</v>
      </c>
      <c r="D118" s="21" t="s">
        <v>258</v>
      </c>
      <c r="E118" s="39" t="s">
        <v>535</v>
      </c>
      <c r="F118" s="22"/>
      <c r="G118" s="278" t="s">
        <v>257</v>
      </c>
      <c r="H118" s="22">
        <v>0</v>
      </c>
      <c r="I118" s="21" t="s">
        <v>191</v>
      </c>
      <c r="J118" s="21" t="s">
        <v>253</v>
      </c>
      <c r="K118" s="22"/>
      <c r="L118" s="21" t="s">
        <v>254</v>
      </c>
      <c r="M118" s="62"/>
      <c r="N118" s="62"/>
      <c r="O118" s="62">
        <f>58750000*11</f>
        <v>646250000</v>
      </c>
      <c r="P118" s="62">
        <f>58750000*12</f>
        <v>705000000</v>
      </c>
      <c r="Q118" s="62">
        <f>58750000*12</f>
        <v>705000000</v>
      </c>
      <c r="R118" s="62">
        <f>58750000*12</f>
        <v>705000000</v>
      </c>
      <c r="S118" s="62"/>
      <c r="T118" s="19">
        <v>2820000000</v>
      </c>
      <c r="U118" s="37">
        <f t="shared" si="7"/>
        <v>3158400000.0000005</v>
      </c>
      <c r="V118" s="22"/>
      <c r="W118" s="20">
        <v>2012</v>
      </c>
      <c r="X118" s="22"/>
    </row>
    <row r="119" spans="1:24" s="41" customFormat="1" ht="38.25">
      <c r="A119" s="22" t="s">
        <v>731</v>
      </c>
      <c r="B119" s="22" t="s">
        <v>422</v>
      </c>
      <c r="C119" s="87" t="s">
        <v>534</v>
      </c>
      <c r="D119" s="21" t="s">
        <v>258</v>
      </c>
      <c r="E119" s="39" t="s">
        <v>536</v>
      </c>
      <c r="F119" s="22"/>
      <c r="G119" s="278" t="s">
        <v>257</v>
      </c>
      <c r="H119" s="22">
        <v>0</v>
      </c>
      <c r="I119" s="21" t="s">
        <v>191</v>
      </c>
      <c r="J119" s="21" t="s">
        <v>253</v>
      </c>
      <c r="K119" s="22"/>
      <c r="L119" s="21" t="s">
        <v>254</v>
      </c>
      <c r="M119" s="62"/>
      <c r="N119" s="62">
        <f>59375000*3</f>
        <v>178125000</v>
      </c>
      <c r="O119" s="62">
        <f>59375000*12</f>
        <v>712500000</v>
      </c>
      <c r="P119" s="62">
        <f>59375000*12</f>
        <v>712500000</v>
      </c>
      <c r="Q119" s="62">
        <f>59375000*12</f>
        <v>712500000</v>
      </c>
      <c r="R119" s="62">
        <f>59375000*12</f>
        <v>712500000</v>
      </c>
      <c r="S119" s="62"/>
      <c r="T119" s="19">
        <v>4275000000</v>
      </c>
      <c r="U119" s="37">
        <f t="shared" si="7"/>
        <v>4788000000</v>
      </c>
      <c r="V119" s="22"/>
      <c r="W119" s="20">
        <v>2012</v>
      </c>
      <c r="X119" s="22"/>
    </row>
    <row r="120" spans="1:24" s="41" customFormat="1" ht="38.25">
      <c r="A120" s="22" t="s">
        <v>732</v>
      </c>
      <c r="B120" s="22" t="s">
        <v>422</v>
      </c>
      <c r="C120" s="87" t="s">
        <v>534</v>
      </c>
      <c r="D120" s="21" t="s">
        <v>258</v>
      </c>
      <c r="E120" s="39" t="s">
        <v>537</v>
      </c>
      <c r="F120" s="22"/>
      <c r="G120" s="278" t="s">
        <v>257</v>
      </c>
      <c r="H120" s="22">
        <v>0</v>
      </c>
      <c r="I120" s="21" t="s">
        <v>191</v>
      </c>
      <c r="J120" s="21" t="s">
        <v>253</v>
      </c>
      <c r="K120" s="22"/>
      <c r="L120" s="21" t="s">
        <v>254</v>
      </c>
      <c r="M120" s="62"/>
      <c r="N120" s="62">
        <f>58750000</f>
        <v>58750000</v>
      </c>
      <c r="O120" s="62">
        <f>58750000*12</f>
        <v>705000000</v>
      </c>
      <c r="P120" s="62">
        <f>58750000*12</f>
        <v>705000000</v>
      </c>
      <c r="Q120" s="62">
        <f>58750000*12</f>
        <v>705000000</v>
      </c>
      <c r="R120" s="62">
        <f>58750000*11</f>
        <v>646250000</v>
      </c>
      <c r="S120" s="62"/>
      <c r="T120" s="19">
        <v>2820000000</v>
      </c>
      <c r="U120" s="37">
        <f t="shared" si="7"/>
        <v>3158400000.0000005</v>
      </c>
      <c r="V120" s="22"/>
      <c r="W120" s="20">
        <v>2012</v>
      </c>
      <c r="X120" s="22"/>
    </row>
    <row r="121" spans="1:24" s="41" customFormat="1" ht="38.25">
      <c r="A121" s="22" t="s">
        <v>733</v>
      </c>
      <c r="B121" s="22" t="s">
        <v>422</v>
      </c>
      <c r="C121" s="87" t="s">
        <v>534</v>
      </c>
      <c r="D121" s="21" t="s">
        <v>258</v>
      </c>
      <c r="E121" s="39" t="s">
        <v>538</v>
      </c>
      <c r="F121" s="22"/>
      <c r="G121" s="278" t="s">
        <v>257</v>
      </c>
      <c r="H121" s="22">
        <v>0</v>
      </c>
      <c r="I121" s="21" t="s">
        <v>182</v>
      </c>
      <c r="J121" s="21" t="s">
        <v>253</v>
      </c>
      <c r="K121" s="22"/>
      <c r="L121" s="21" t="s">
        <v>254</v>
      </c>
      <c r="M121" s="62"/>
      <c r="N121" s="62">
        <f>52011111*5</f>
        <v>260055555</v>
      </c>
      <c r="O121" s="62">
        <f>52011111*12</f>
        <v>624133332</v>
      </c>
      <c r="P121" s="62">
        <f>52011111*12</f>
        <v>624133332</v>
      </c>
      <c r="Q121" s="62">
        <f>52011111*12</f>
        <v>624133332</v>
      </c>
      <c r="R121" s="62">
        <f>52011111*4</f>
        <v>208044444</v>
      </c>
      <c r="S121" s="62"/>
      <c r="T121" s="19">
        <v>2340500000</v>
      </c>
      <c r="U121" s="37">
        <f t="shared" si="7"/>
        <v>2621360000.0000005</v>
      </c>
      <c r="V121" s="22"/>
      <c r="W121" s="20">
        <v>2012</v>
      </c>
      <c r="X121" s="22"/>
    </row>
    <row r="122" spans="1:24" s="41" customFormat="1" ht="51">
      <c r="A122" s="22" t="s">
        <v>734</v>
      </c>
      <c r="B122" s="22" t="s">
        <v>422</v>
      </c>
      <c r="C122" s="259" t="s">
        <v>834</v>
      </c>
      <c r="D122" s="122" t="s">
        <v>828</v>
      </c>
      <c r="E122" s="122" t="s">
        <v>835</v>
      </c>
      <c r="F122" s="25" t="s">
        <v>420</v>
      </c>
      <c r="G122" s="278" t="s">
        <v>242</v>
      </c>
      <c r="H122" s="22">
        <v>0</v>
      </c>
      <c r="I122" s="21" t="s">
        <v>193</v>
      </c>
      <c r="J122" s="25" t="s">
        <v>421</v>
      </c>
      <c r="K122" s="22"/>
      <c r="L122" s="38" t="s">
        <v>412</v>
      </c>
      <c r="M122" s="62"/>
      <c r="N122" s="62">
        <v>39732233.354399994</v>
      </c>
      <c r="O122" s="62"/>
      <c r="P122" s="62"/>
      <c r="Q122" s="62"/>
      <c r="R122" s="62"/>
      <c r="S122" s="62"/>
      <c r="T122" s="19">
        <v>121464000</v>
      </c>
      <c r="U122" s="37">
        <f>T122*1.12</f>
        <v>136039680</v>
      </c>
      <c r="V122" s="22"/>
      <c r="W122" s="20">
        <v>2011</v>
      </c>
      <c r="X122" s="22"/>
    </row>
    <row r="123" spans="1:24" ht="102" customHeight="1">
      <c r="A123" s="22" t="s">
        <v>735</v>
      </c>
      <c r="B123" s="22" t="s">
        <v>422</v>
      </c>
      <c r="C123" s="87"/>
      <c r="D123" s="14" t="s">
        <v>419</v>
      </c>
      <c r="E123" s="14" t="s">
        <v>408</v>
      </c>
      <c r="F123" s="22"/>
      <c r="G123" s="284" t="s">
        <v>242</v>
      </c>
      <c r="H123" s="22">
        <v>0</v>
      </c>
      <c r="I123" s="14" t="s">
        <v>181</v>
      </c>
      <c r="J123" s="40" t="s">
        <v>248</v>
      </c>
      <c r="K123" s="22"/>
      <c r="L123" s="38" t="s">
        <v>409</v>
      </c>
      <c r="M123" s="62"/>
      <c r="N123" s="62">
        <v>316470000</v>
      </c>
      <c r="O123" s="62"/>
      <c r="P123" s="62"/>
      <c r="Q123" s="62"/>
      <c r="R123" s="62"/>
      <c r="S123" s="62"/>
      <c r="T123" s="37">
        <v>402300000</v>
      </c>
      <c r="U123" s="37">
        <f t="shared" si="7"/>
        <v>450576000.00000006</v>
      </c>
      <c r="V123" s="22"/>
      <c r="W123" s="20">
        <v>2012</v>
      </c>
      <c r="X123" s="22"/>
    </row>
    <row r="124" spans="1:24" ht="63.75">
      <c r="A124" s="22" t="s">
        <v>736</v>
      </c>
      <c r="B124" s="22" t="s">
        <v>422</v>
      </c>
      <c r="C124" s="87"/>
      <c r="D124" s="22" t="s">
        <v>413</v>
      </c>
      <c r="E124" s="22" t="s">
        <v>414</v>
      </c>
      <c r="F124" s="22"/>
      <c r="G124" s="221" t="s">
        <v>242</v>
      </c>
      <c r="H124" s="22">
        <v>0</v>
      </c>
      <c r="I124" s="14" t="s">
        <v>186</v>
      </c>
      <c r="J124" s="22" t="s">
        <v>415</v>
      </c>
      <c r="K124" s="22"/>
      <c r="L124" s="24" t="s">
        <v>230</v>
      </c>
      <c r="M124" s="62"/>
      <c r="N124" s="62">
        <v>22604400</v>
      </c>
      <c r="O124" s="62"/>
      <c r="P124" s="62"/>
      <c r="Q124" s="62"/>
      <c r="R124" s="62"/>
      <c r="S124" s="62"/>
      <c r="T124" s="37">
        <v>22604400</v>
      </c>
      <c r="U124" s="37">
        <f t="shared" si="7"/>
        <v>25316928.000000004</v>
      </c>
      <c r="V124" s="22"/>
      <c r="W124" s="20">
        <v>2012</v>
      </c>
      <c r="X124" s="22"/>
    </row>
    <row r="125" spans="1:24" s="132" customFormat="1" ht="51">
      <c r="A125" s="22" t="s">
        <v>737</v>
      </c>
      <c r="B125" s="22" t="s">
        <v>422</v>
      </c>
      <c r="C125" s="87"/>
      <c r="D125" s="22" t="s">
        <v>579</v>
      </c>
      <c r="E125" s="22"/>
      <c r="F125" s="22"/>
      <c r="G125" s="221"/>
      <c r="H125" s="22"/>
      <c r="I125" s="76"/>
      <c r="J125" s="21" t="s">
        <v>566</v>
      </c>
      <c r="K125" s="22"/>
      <c r="L125" s="24"/>
      <c r="M125" s="22"/>
      <c r="N125" s="72"/>
      <c r="O125" s="72">
        <v>8617673348.45901</v>
      </c>
      <c r="P125" s="72">
        <v>9833724613.371693</v>
      </c>
      <c r="Q125" s="72">
        <v>20600514000</v>
      </c>
      <c r="R125" s="72">
        <v>20827570500</v>
      </c>
      <c r="S125" s="37"/>
      <c r="T125" s="37">
        <v>0</v>
      </c>
      <c r="U125" s="37">
        <f>T125*1.12</f>
        <v>0</v>
      </c>
      <c r="V125" s="22"/>
      <c r="W125" s="22">
        <v>2013</v>
      </c>
      <c r="X125" s="22" t="s">
        <v>927</v>
      </c>
    </row>
    <row r="126" spans="1:24" s="132" customFormat="1" ht="76.5">
      <c r="A126" s="22" t="s">
        <v>738</v>
      </c>
      <c r="B126" s="22" t="s">
        <v>422</v>
      </c>
      <c r="C126" s="87"/>
      <c r="D126" s="78" t="s">
        <v>590</v>
      </c>
      <c r="E126" s="78" t="s">
        <v>590</v>
      </c>
      <c r="F126" s="141"/>
      <c r="G126" s="221"/>
      <c r="H126" s="22"/>
      <c r="I126" s="76"/>
      <c r="J126" s="21" t="s">
        <v>589</v>
      </c>
      <c r="K126" s="22"/>
      <c r="L126" s="77"/>
      <c r="M126" s="22"/>
      <c r="N126" s="37"/>
      <c r="O126" s="37">
        <v>221562000</v>
      </c>
      <c r="P126" s="37">
        <v>222750000</v>
      </c>
      <c r="Q126" s="37">
        <v>227502000</v>
      </c>
      <c r="R126" s="37">
        <v>234333000</v>
      </c>
      <c r="S126" s="37"/>
      <c r="T126" s="74">
        <f>O126+P126+Q126+R126</f>
        <v>906147000</v>
      </c>
      <c r="U126" s="37">
        <f>T126*1.12</f>
        <v>1014884640.0000001</v>
      </c>
      <c r="V126" s="22"/>
      <c r="W126" s="22">
        <v>2013</v>
      </c>
      <c r="X126" s="141"/>
    </row>
    <row r="127" spans="1:24" s="83" customFormat="1" ht="62.25" customHeight="1">
      <c r="A127" s="22" t="s">
        <v>739</v>
      </c>
      <c r="B127" s="22" t="s">
        <v>422</v>
      </c>
      <c r="C127" s="87"/>
      <c r="D127" s="22" t="s">
        <v>591</v>
      </c>
      <c r="E127" s="22" t="s">
        <v>591</v>
      </c>
      <c r="F127" s="82"/>
      <c r="G127" s="221"/>
      <c r="H127" s="22"/>
      <c r="I127" s="76"/>
      <c r="J127" s="21" t="s">
        <v>589</v>
      </c>
      <c r="K127" s="22"/>
      <c r="L127" s="77"/>
      <c r="M127" s="22"/>
      <c r="N127" s="81"/>
      <c r="O127" s="81">
        <v>894252465.5457929</v>
      </c>
      <c r="P127" s="81">
        <v>1016590828.5182872</v>
      </c>
      <c r="Q127" s="81">
        <v>3120282000</v>
      </c>
      <c r="R127" s="81">
        <v>3277989000</v>
      </c>
      <c r="S127" s="37"/>
      <c r="T127" s="37">
        <f>N127+O127+P127+Q127+R127</f>
        <v>8309114294.06408</v>
      </c>
      <c r="U127" s="37">
        <f>T127*1.12</f>
        <v>9306208009.35177</v>
      </c>
      <c r="V127" s="22"/>
      <c r="W127" s="22">
        <v>2013</v>
      </c>
      <c r="X127" s="82"/>
    </row>
    <row r="128" spans="1:24" ht="58.5" customHeight="1">
      <c r="A128" s="22" t="s">
        <v>740</v>
      </c>
      <c r="B128" s="22" t="s">
        <v>422</v>
      </c>
      <c r="C128" s="87"/>
      <c r="D128" s="22" t="s">
        <v>448</v>
      </c>
      <c r="E128" s="22"/>
      <c r="F128" s="22"/>
      <c r="G128" s="281" t="s">
        <v>242</v>
      </c>
      <c r="H128" s="22">
        <v>0</v>
      </c>
      <c r="I128" s="39" t="s">
        <v>182</v>
      </c>
      <c r="J128" s="22" t="s">
        <v>233</v>
      </c>
      <c r="K128" s="22"/>
      <c r="L128" s="22" t="s">
        <v>446</v>
      </c>
      <c r="M128" s="62"/>
      <c r="N128" s="62">
        <v>18488400</v>
      </c>
      <c r="O128" s="62">
        <v>18488400</v>
      </c>
      <c r="P128" s="62">
        <v>18488400</v>
      </c>
      <c r="Q128" s="62"/>
      <c r="R128" s="62"/>
      <c r="S128" s="62"/>
      <c r="T128" s="37">
        <f>N128+O128+P128</f>
        <v>55465200</v>
      </c>
      <c r="U128" s="37">
        <f t="shared" si="7"/>
        <v>62121024.00000001</v>
      </c>
      <c r="V128" s="22"/>
      <c r="W128" s="20">
        <v>2012</v>
      </c>
      <c r="X128" s="22"/>
    </row>
    <row r="129" spans="1:24" ht="46.5" customHeight="1">
      <c r="A129" s="22" t="s">
        <v>741</v>
      </c>
      <c r="B129" s="22" t="s">
        <v>422</v>
      </c>
      <c r="C129" s="87"/>
      <c r="D129" s="22" t="s">
        <v>449</v>
      </c>
      <c r="E129" s="22"/>
      <c r="F129" s="22"/>
      <c r="G129" s="281" t="s">
        <v>242</v>
      </c>
      <c r="H129" s="22">
        <v>0</v>
      </c>
      <c r="I129" s="39" t="s">
        <v>182</v>
      </c>
      <c r="J129" s="22" t="s">
        <v>233</v>
      </c>
      <c r="K129" s="22"/>
      <c r="L129" s="22" t="s">
        <v>446</v>
      </c>
      <c r="M129" s="62"/>
      <c r="N129" s="62">
        <v>22131468</v>
      </c>
      <c r="O129" s="62">
        <v>22131468</v>
      </c>
      <c r="P129" s="62">
        <v>22131468</v>
      </c>
      <c r="Q129" s="62"/>
      <c r="R129" s="62"/>
      <c r="S129" s="62"/>
      <c r="T129" s="37">
        <f aca="true" t="shared" si="8" ref="T129:T139">N129+O129+P129</f>
        <v>66394404</v>
      </c>
      <c r="U129" s="37">
        <f t="shared" si="7"/>
        <v>74361732.48</v>
      </c>
      <c r="V129" s="22"/>
      <c r="W129" s="20">
        <v>2012</v>
      </c>
      <c r="X129" s="22"/>
    </row>
    <row r="130" spans="1:24" ht="46.5" customHeight="1">
      <c r="A130" s="22" t="s">
        <v>742</v>
      </c>
      <c r="B130" s="22" t="s">
        <v>422</v>
      </c>
      <c r="C130" s="87"/>
      <c r="D130" s="22" t="s">
        <v>450</v>
      </c>
      <c r="E130" s="22"/>
      <c r="F130" s="22"/>
      <c r="G130" s="281" t="s">
        <v>242</v>
      </c>
      <c r="H130" s="22">
        <v>0</v>
      </c>
      <c r="I130" s="39" t="s">
        <v>182</v>
      </c>
      <c r="J130" s="22" t="s">
        <v>233</v>
      </c>
      <c r="K130" s="22"/>
      <c r="L130" s="22" t="s">
        <v>446</v>
      </c>
      <c r="M130" s="62"/>
      <c r="N130" s="62">
        <v>76870803</v>
      </c>
      <c r="O130" s="62">
        <v>76870803</v>
      </c>
      <c r="P130" s="62">
        <v>76870803</v>
      </c>
      <c r="Q130" s="62"/>
      <c r="R130" s="62"/>
      <c r="S130" s="62"/>
      <c r="T130" s="37">
        <f t="shared" si="8"/>
        <v>230612409</v>
      </c>
      <c r="U130" s="37">
        <f t="shared" si="7"/>
        <v>258285898.08</v>
      </c>
      <c r="V130" s="22"/>
      <c r="W130" s="20">
        <v>2012</v>
      </c>
      <c r="X130" s="22"/>
    </row>
    <row r="131" spans="1:24" ht="59.25" customHeight="1">
      <c r="A131" s="22" t="s">
        <v>743</v>
      </c>
      <c r="B131" s="22" t="s">
        <v>422</v>
      </c>
      <c r="C131" s="87"/>
      <c r="D131" s="22" t="s">
        <v>451</v>
      </c>
      <c r="E131" s="22"/>
      <c r="F131" s="22"/>
      <c r="G131" s="281" t="s">
        <v>242</v>
      </c>
      <c r="H131" s="22">
        <v>0</v>
      </c>
      <c r="I131" s="39" t="s">
        <v>182</v>
      </c>
      <c r="J131" s="22" t="s">
        <v>233</v>
      </c>
      <c r="K131" s="22"/>
      <c r="L131" s="22" t="s">
        <v>446</v>
      </c>
      <c r="M131" s="62"/>
      <c r="N131" s="62">
        <v>32305203</v>
      </c>
      <c r="O131" s="62">
        <v>32305203</v>
      </c>
      <c r="P131" s="62">
        <v>32305203</v>
      </c>
      <c r="Q131" s="62"/>
      <c r="R131" s="62"/>
      <c r="S131" s="62"/>
      <c r="T131" s="37">
        <f t="shared" si="8"/>
        <v>96915609</v>
      </c>
      <c r="U131" s="37">
        <f t="shared" si="7"/>
        <v>108545482.08000001</v>
      </c>
      <c r="V131" s="22"/>
      <c r="W131" s="20">
        <v>2012</v>
      </c>
      <c r="X131" s="22"/>
    </row>
    <row r="132" spans="1:24" ht="65.25" customHeight="1">
      <c r="A132" s="22" t="s">
        <v>744</v>
      </c>
      <c r="B132" s="22" t="s">
        <v>422</v>
      </c>
      <c r="C132" s="261" t="s">
        <v>587</v>
      </c>
      <c r="D132" s="67" t="s">
        <v>588</v>
      </c>
      <c r="E132" s="67" t="s">
        <v>588</v>
      </c>
      <c r="F132" s="22" t="s">
        <v>452</v>
      </c>
      <c r="G132" s="281" t="s">
        <v>242</v>
      </c>
      <c r="H132" s="22">
        <v>0</v>
      </c>
      <c r="I132" s="39" t="s">
        <v>182</v>
      </c>
      <c r="J132" s="22" t="s">
        <v>233</v>
      </c>
      <c r="K132" s="22"/>
      <c r="L132" s="22" t="s">
        <v>446</v>
      </c>
      <c r="M132" s="62"/>
      <c r="N132" s="62">
        <v>243410295</v>
      </c>
      <c r="O132" s="62">
        <v>243410295</v>
      </c>
      <c r="P132" s="62">
        <v>243410295</v>
      </c>
      <c r="Q132" s="62"/>
      <c r="R132" s="62"/>
      <c r="S132" s="62"/>
      <c r="T132" s="37">
        <f t="shared" si="8"/>
        <v>730230885</v>
      </c>
      <c r="U132" s="37">
        <f t="shared" si="7"/>
        <v>817858591.2</v>
      </c>
      <c r="V132" s="22"/>
      <c r="W132" s="20">
        <v>2012</v>
      </c>
      <c r="X132" s="22"/>
    </row>
    <row r="133" spans="1:24" ht="76.5">
      <c r="A133" s="22" t="s">
        <v>745</v>
      </c>
      <c r="B133" s="22" t="s">
        <v>422</v>
      </c>
      <c r="C133" s="261" t="s">
        <v>587</v>
      </c>
      <c r="D133" s="67" t="s">
        <v>588</v>
      </c>
      <c r="E133" s="67" t="s">
        <v>588</v>
      </c>
      <c r="F133" s="22" t="s">
        <v>453</v>
      </c>
      <c r="G133" s="281" t="s">
        <v>242</v>
      </c>
      <c r="H133" s="22">
        <v>0</v>
      </c>
      <c r="I133" s="39" t="s">
        <v>182</v>
      </c>
      <c r="J133" s="22" t="s">
        <v>233</v>
      </c>
      <c r="K133" s="22"/>
      <c r="L133" s="22" t="s">
        <v>446</v>
      </c>
      <c r="M133" s="62"/>
      <c r="N133" s="62">
        <v>1788646990</v>
      </c>
      <c r="O133" s="62">
        <v>1788646990</v>
      </c>
      <c r="P133" s="62">
        <v>1788646990</v>
      </c>
      <c r="Q133" s="62"/>
      <c r="R133" s="62"/>
      <c r="S133" s="62"/>
      <c r="T133" s="37">
        <f t="shared" si="8"/>
        <v>5365940970</v>
      </c>
      <c r="U133" s="37">
        <f t="shared" si="7"/>
        <v>6009853886.400001</v>
      </c>
      <c r="V133" s="22"/>
      <c r="W133" s="20">
        <v>2012</v>
      </c>
      <c r="X133" s="22"/>
    </row>
    <row r="134" spans="1:24" ht="60" customHeight="1">
      <c r="A134" s="22" t="s">
        <v>746</v>
      </c>
      <c r="B134" s="22" t="s">
        <v>422</v>
      </c>
      <c r="C134" s="261" t="s">
        <v>587</v>
      </c>
      <c r="D134" s="67" t="s">
        <v>588</v>
      </c>
      <c r="E134" s="67" t="s">
        <v>588</v>
      </c>
      <c r="F134" s="22" t="s">
        <v>454</v>
      </c>
      <c r="G134" s="281" t="s">
        <v>242</v>
      </c>
      <c r="H134" s="22">
        <v>0</v>
      </c>
      <c r="I134" s="39" t="s">
        <v>182</v>
      </c>
      <c r="J134" s="22" t="s">
        <v>233</v>
      </c>
      <c r="K134" s="22"/>
      <c r="L134" s="22" t="s">
        <v>446</v>
      </c>
      <c r="M134" s="62"/>
      <c r="N134" s="62">
        <v>2325042418</v>
      </c>
      <c r="O134" s="62">
        <v>2325042418</v>
      </c>
      <c r="P134" s="62">
        <v>2325042418</v>
      </c>
      <c r="Q134" s="62"/>
      <c r="R134" s="62"/>
      <c r="S134" s="62"/>
      <c r="T134" s="37">
        <f t="shared" si="8"/>
        <v>6975127254</v>
      </c>
      <c r="U134" s="37">
        <f t="shared" si="7"/>
        <v>7812142524.4800005</v>
      </c>
      <c r="V134" s="22"/>
      <c r="W134" s="20">
        <v>2012</v>
      </c>
      <c r="X134" s="22"/>
    </row>
    <row r="135" spans="1:24" ht="66" customHeight="1">
      <c r="A135" s="22" t="s">
        <v>747</v>
      </c>
      <c r="B135" s="22" t="s">
        <v>422</v>
      </c>
      <c r="C135" s="261" t="s">
        <v>587</v>
      </c>
      <c r="D135" s="67" t="s">
        <v>588</v>
      </c>
      <c r="E135" s="67" t="s">
        <v>588</v>
      </c>
      <c r="F135" s="22" t="s">
        <v>455</v>
      </c>
      <c r="G135" s="281" t="s">
        <v>242</v>
      </c>
      <c r="H135" s="22">
        <v>0</v>
      </c>
      <c r="I135" s="39" t="s">
        <v>182</v>
      </c>
      <c r="J135" s="22" t="s">
        <v>233</v>
      </c>
      <c r="K135" s="22"/>
      <c r="L135" s="22" t="s">
        <v>446</v>
      </c>
      <c r="M135" s="62"/>
      <c r="N135" s="62">
        <v>696635048</v>
      </c>
      <c r="O135" s="62">
        <v>696635048</v>
      </c>
      <c r="P135" s="62">
        <v>696635048</v>
      </c>
      <c r="Q135" s="62"/>
      <c r="R135" s="62"/>
      <c r="S135" s="62"/>
      <c r="T135" s="37">
        <f t="shared" si="8"/>
        <v>2089905144</v>
      </c>
      <c r="U135" s="37">
        <f t="shared" si="7"/>
        <v>2340693761.28</v>
      </c>
      <c r="V135" s="22"/>
      <c r="W135" s="20">
        <v>2012</v>
      </c>
      <c r="X135" s="22"/>
    </row>
    <row r="136" spans="1:24" ht="81" customHeight="1">
      <c r="A136" s="22" t="s">
        <v>748</v>
      </c>
      <c r="B136" s="22" t="s">
        <v>422</v>
      </c>
      <c r="C136" s="87"/>
      <c r="D136" s="22" t="s">
        <v>462</v>
      </c>
      <c r="E136" s="22"/>
      <c r="F136" s="22"/>
      <c r="G136" s="281" t="s">
        <v>242</v>
      </c>
      <c r="H136" s="22">
        <v>0</v>
      </c>
      <c r="I136" s="39" t="s">
        <v>182</v>
      </c>
      <c r="J136" s="22" t="s">
        <v>233</v>
      </c>
      <c r="K136" s="22"/>
      <c r="L136" s="22" t="s">
        <v>446</v>
      </c>
      <c r="M136" s="62"/>
      <c r="N136" s="62">
        <v>4156377</v>
      </c>
      <c r="O136" s="62">
        <v>4156377</v>
      </c>
      <c r="P136" s="62">
        <v>4156377</v>
      </c>
      <c r="Q136" s="62"/>
      <c r="R136" s="62"/>
      <c r="S136" s="62"/>
      <c r="T136" s="37">
        <f t="shared" si="8"/>
        <v>12469131</v>
      </c>
      <c r="U136" s="37">
        <f t="shared" si="7"/>
        <v>13965426.72</v>
      </c>
      <c r="V136" s="22"/>
      <c r="W136" s="20">
        <v>2012</v>
      </c>
      <c r="X136" s="22"/>
    </row>
    <row r="137" spans="1:24" ht="105.75" customHeight="1">
      <c r="A137" s="22" t="s">
        <v>749</v>
      </c>
      <c r="B137" s="22" t="s">
        <v>422</v>
      </c>
      <c r="C137" s="262" t="s">
        <v>836</v>
      </c>
      <c r="D137" s="162" t="s">
        <v>837</v>
      </c>
      <c r="E137" s="162" t="s">
        <v>838</v>
      </c>
      <c r="F137" s="22" t="s">
        <v>463</v>
      </c>
      <c r="G137" s="281" t="s">
        <v>242</v>
      </c>
      <c r="H137" s="22">
        <v>0</v>
      </c>
      <c r="I137" s="39" t="s">
        <v>182</v>
      </c>
      <c r="J137" s="22" t="s">
        <v>233</v>
      </c>
      <c r="K137" s="22"/>
      <c r="L137" s="22" t="s">
        <v>446</v>
      </c>
      <c r="M137" s="62"/>
      <c r="N137" s="62">
        <v>162506960</v>
      </c>
      <c r="O137" s="62">
        <v>162506960</v>
      </c>
      <c r="P137" s="62">
        <v>162506960</v>
      </c>
      <c r="Q137" s="62"/>
      <c r="R137" s="62"/>
      <c r="S137" s="62"/>
      <c r="T137" s="37">
        <f t="shared" si="8"/>
        <v>487520880</v>
      </c>
      <c r="U137" s="37">
        <f t="shared" si="7"/>
        <v>546023385.6</v>
      </c>
      <c r="V137" s="22"/>
      <c r="W137" s="20">
        <v>2012</v>
      </c>
      <c r="X137" s="22"/>
    </row>
    <row r="138" spans="1:24" ht="71.25" customHeight="1">
      <c r="A138" s="22" t="s">
        <v>750</v>
      </c>
      <c r="B138" s="22" t="s">
        <v>422</v>
      </c>
      <c r="C138" s="87"/>
      <c r="D138" s="22" t="s">
        <v>676</v>
      </c>
      <c r="E138" s="22"/>
      <c r="F138" s="22"/>
      <c r="G138" s="281" t="s">
        <v>242</v>
      </c>
      <c r="H138" s="22">
        <v>0</v>
      </c>
      <c r="I138" s="39" t="s">
        <v>182</v>
      </c>
      <c r="J138" s="22" t="s">
        <v>233</v>
      </c>
      <c r="K138" s="22"/>
      <c r="L138" s="22" t="s">
        <v>446</v>
      </c>
      <c r="M138" s="62"/>
      <c r="N138" s="62">
        <v>1152526318</v>
      </c>
      <c r="O138" s="62">
        <v>1152526318</v>
      </c>
      <c r="P138" s="62">
        <v>1152526318</v>
      </c>
      <c r="Q138" s="62"/>
      <c r="R138" s="62"/>
      <c r="S138" s="62"/>
      <c r="T138" s="37">
        <f t="shared" si="8"/>
        <v>3457578954</v>
      </c>
      <c r="U138" s="37">
        <f t="shared" si="7"/>
        <v>3872488428.4800005</v>
      </c>
      <c r="V138" s="22"/>
      <c r="W138" s="20">
        <v>2012</v>
      </c>
      <c r="X138" s="22"/>
    </row>
    <row r="139" spans="1:24" ht="65.25" customHeight="1">
      <c r="A139" s="22" t="s">
        <v>751</v>
      </c>
      <c r="B139" s="22" t="s">
        <v>422</v>
      </c>
      <c r="C139" s="87"/>
      <c r="D139" s="22" t="s">
        <v>464</v>
      </c>
      <c r="E139" s="22"/>
      <c r="F139" s="22"/>
      <c r="G139" s="281" t="s">
        <v>242</v>
      </c>
      <c r="H139" s="22">
        <v>0</v>
      </c>
      <c r="I139" s="39" t="s">
        <v>182</v>
      </c>
      <c r="J139" s="22" t="s">
        <v>233</v>
      </c>
      <c r="K139" s="22"/>
      <c r="L139" s="22" t="s">
        <v>446</v>
      </c>
      <c r="M139" s="62"/>
      <c r="N139" s="62">
        <v>116422877</v>
      </c>
      <c r="O139" s="62">
        <v>116422877</v>
      </c>
      <c r="P139" s="62">
        <v>116422877</v>
      </c>
      <c r="Q139" s="62"/>
      <c r="R139" s="62"/>
      <c r="S139" s="62"/>
      <c r="T139" s="37">
        <f t="shared" si="8"/>
        <v>349268631</v>
      </c>
      <c r="U139" s="37">
        <f t="shared" si="7"/>
        <v>391180866.72</v>
      </c>
      <c r="V139" s="22"/>
      <c r="W139" s="20">
        <v>2012</v>
      </c>
      <c r="X139" s="22"/>
    </row>
    <row r="140" spans="1:24" s="41" customFormat="1" ht="81.75" customHeight="1">
      <c r="A140" s="22" t="s">
        <v>752</v>
      </c>
      <c r="B140" s="22" t="s">
        <v>422</v>
      </c>
      <c r="C140" s="259" t="s">
        <v>509</v>
      </c>
      <c r="D140" s="122" t="s">
        <v>510</v>
      </c>
      <c r="E140" s="122" t="s">
        <v>524</v>
      </c>
      <c r="F140" s="65" t="s">
        <v>525</v>
      </c>
      <c r="G140" s="281" t="s">
        <v>242</v>
      </c>
      <c r="H140" s="22">
        <v>0</v>
      </c>
      <c r="I140" s="39" t="s">
        <v>526</v>
      </c>
      <c r="J140" s="22" t="s">
        <v>233</v>
      </c>
      <c r="K140" s="22"/>
      <c r="L140" s="22" t="s">
        <v>527</v>
      </c>
      <c r="M140" s="62"/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/>
      <c r="T140" s="37">
        <v>0</v>
      </c>
      <c r="U140" s="37">
        <f t="shared" si="7"/>
        <v>0</v>
      </c>
      <c r="V140" s="22"/>
      <c r="W140" s="20">
        <v>2013</v>
      </c>
      <c r="X140" s="22" t="s">
        <v>103</v>
      </c>
    </row>
    <row r="141" spans="1:24" s="41" customFormat="1" ht="81.75" customHeight="1">
      <c r="A141" s="22" t="s">
        <v>101</v>
      </c>
      <c r="B141" s="22" t="s">
        <v>422</v>
      </c>
      <c r="C141" s="259" t="s">
        <v>509</v>
      </c>
      <c r="D141" s="122" t="s">
        <v>510</v>
      </c>
      <c r="E141" s="122" t="s">
        <v>524</v>
      </c>
      <c r="F141" s="65" t="s">
        <v>525</v>
      </c>
      <c r="G141" s="281" t="s">
        <v>242</v>
      </c>
      <c r="H141" s="22">
        <v>0</v>
      </c>
      <c r="I141" s="39" t="s">
        <v>102</v>
      </c>
      <c r="J141" s="22" t="s">
        <v>216</v>
      </c>
      <c r="K141" s="22"/>
      <c r="L141" s="22" t="s">
        <v>527</v>
      </c>
      <c r="M141" s="62"/>
      <c r="N141" s="62">
        <v>12550000</v>
      </c>
      <c r="O141" s="62">
        <v>11062000</v>
      </c>
      <c r="P141" s="62">
        <v>9850000</v>
      </c>
      <c r="Q141" s="62">
        <v>9850000</v>
      </c>
      <c r="R141" s="62">
        <v>9850000</v>
      </c>
      <c r="S141" s="62"/>
      <c r="T141" s="37">
        <v>63012000</v>
      </c>
      <c r="U141" s="37">
        <f t="shared" si="7"/>
        <v>70573440</v>
      </c>
      <c r="V141" s="22"/>
      <c r="W141" s="20">
        <v>2013</v>
      </c>
      <c r="X141" s="22"/>
    </row>
    <row r="142" spans="1:24" ht="65.25" customHeight="1">
      <c r="A142" s="22" t="s">
        <v>753</v>
      </c>
      <c r="B142" s="22" t="s">
        <v>422</v>
      </c>
      <c r="C142" s="261" t="s">
        <v>528</v>
      </c>
      <c r="D142" s="67" t="s">
        <v>529</v>
      </c>
      <c r="E142" s="67" t="s">
        <v>530</v>
      </c>
      <c r="F142" s="22" t="s">
        <v>531</v>
      </c>
      <c r="G142" s="281" t="s">
        <v>242</v>
      </c>
      <c r="H142" s="22">
        <v>100</v>
      </c>
      <c r="I142" s="39" t="s">
        <v>474</v>
      </c>
      <c r="J142" s="22" t="s">
        <v>216</v>
      </c>
      <c r="K142" s="22"/>
      <c r="L142" s="22" t="s">
        <v>533</v>
      </c>
      <c r="M142" s="62"/>
      <c r="N142" s="62">
        <v>11835720</v>
      </c>
      <c r="O142" s="62">
        <v>11835720</v>
      </c>
      <c r="P142" s="62">
        <v>11835720</v>
      </c>
      <c r="Q142" s="62"/>
      <c r="R142" s="62"/>
      <c r="S142" s="62"/>
      <c r="T142" s="37">
        <v>35507160</v>
      </c>
      <c r="U142" s="37">
        <f t="shared" si="7"/>
        <v>39768019.2</v>
      </c>
      <c r="V142" s="22"/>
      <c r="W142" s="20">
        <v>2013</v>
      </c>
      <c r="X142" s="22"/>
    </row>
    <row r="143" spans="1:24" s="69" customFormat="1" ht="82.5" customHeight="1">
      <c r="A143" s="22" t="s">
        <v>754</v>
      </c>
      <c r="B143" s="22" t="s">
        <v>422</v>
      </c>
      <c r="C143" s="263" t="s">
        <v>551</v>
      </c>
      <c r="D143" s="148" t="s">
        <v>552</v>
      </c>
      <c r="E143" s="148" t="s">
        <v>553</v>
      </c>
      <c r="F143" s="149" t="s">
        <v>554</v>
      </c>
      <c r="G143" s="281" t="s">
        <v>242</v>
      </c>
      <c r="H143" s="22">
        <v>0</v>
      </c>
      <c r="I143" s="150" t="s">
        <v>556</v>
      </c>
      <c r="J143" s="151" t="s">
        <v>557</v>
      </c>
      <c r="K143" s="22"/>
      <c r="L143" s="151" t="s">
        <v>558</v>
      </c>
      <c r="M143" s="62"/>
      <c r="N143" s="32">
        <v>18270000</v>
      </c>
      <c r="O143" s="62"/>
      <c r="P143" s="62"/>
      <c r="Q143" s="62"/>
      <c r="R143" s="62"/>
      <c r="S143" s="62"/>
      <c r="T143" s="32">
        <v>18270000</v>
      </c>
      <c r="U143" s="37">
        <f t="shared" si="7"/>
        <v>20462400.000000004</v>
      </c>
      <c r="V143" s="22"/>
      <c r="W143" s="20">
        <v>2013</v>
      </c>
      <c r="X143" s="22"/>
    </row>
    <row r="144" spans="1:24" s="69" customFormat="1" ht="83.25" customHeight="1">
      <c r="A144" s="22" t="s">
        <v>755</v>
      </c>
      <c r="B144" s="22" t="s">
        <v>422</v>
      </c>
      <c r="C144" s="263" t="s">
        <v>551</v>
      </c>
      <c r="D144" s="148" t="s">
        <v>552</v>
      </c>
      <c r="E144" s="148" t="s">
        <v>553</v>
      </c>
      <c r="F144" s="149" t="s">
        <v>555</v>
      </c>
      <c r="G144" s="281" t="s">
        <v>242</v>
      </c>
      <c r="H144" s="22">
        <v>0</v>
      </c>
      <c r="I144" s="150" t="s">
        <v>556</v>
      </c>
      <c r="J144" s="151" t="s">
        <v>557</v>
      </c>
      <c r="K144" s="22"/>
      <c r="L144" s="151" t="s">
        <v>558</v>
      </c>
      <c r="M144" s="62"/>
      <c r="N144" s="62">
        <v>11934000</v>
      </c>
      <c r="O144" s="62">
        <v>5967000</v>
      </c>
      <c r="P144" s="62"/>
      <c r="Q144" s="62"/>
      <c r="R144" s="62"/>
      <c r="S144" s="62"/>
      <c r="T144" s="32">
        <v>17901000</v>
      </c>
      <c r="U144" s="37">
        <f t="shared" si="7"/>
        <v>20049120.000000004</v>
      </c>
      <c r="V144" s="22"/>
      <c r="W144" s="20">
        <v>2013</v>
      </c>
      <c r="X144" s="22"/>
    </row>
    <row r="145" spans="1:24" s="69" customFormat="1" ht="83.25" customHeight="1">
      <c r="A145" s="22" t="s">
        <v>756</v>
      </c>
      <c r="B145" s="22" t="s">
        <v>422</v>
      </c>
      <c r="C145" s="264" t="s">
        <v>560</v>
      </c>
      <c r="D145" s="152" t="s">
        <v>561</v>
      </c>
      <c r="E145" s="152" t="s">
        <v>562</v>
      </c>
      <c r="F145" s="149" t="s">
        <v>559</v>
      </c>
      <c r="G145" s="281" t="s">
        <v>257</v>
      </c>
      <c r="H145" s="22">
        <v>0</v>
      </c>
      <c r="I145" s="150" t="s">
        <v>484</v>
      </c>
      <c r="J145" s="22" t="s">
        <v>545</v>
      </c>
      <c r="K145" s="22"/>
      <c r="L145" s="153" t="s">
        <v>563</v>
      </c>
      <c r="M145" s="62"/>
      <c r="N145" s="62">
        <v>4709699</v>
      </c>
      <c r="O145" s="62">
        <v>4709699</v>
      </c>
      <c r="P145" s="62">
        <v>4709699</v>
      </c>
      <c r="Q145" s="62">
        <v>4709699</v>
      </c>
      <c r="R145" s="62">
        <v>4709699</v>
      </c>
      <c r="S145" s="62"/>
      <c r="T145" s="32">
        <v>23548494.6</v>
      </c>
      <c r="U145" s="37">
        <f t="shared" si="7"/>
        <v>26374313.952000003</v>
      </c>
      <c r="V145" s="22"/>
      <c r="W145" s="20">
        <v>2012</v>
      </c>
      <c r="X145" s="22"/>
    </row>
    <row r="146" spans="1:24" s="132" customFormat="1" ht="76.5">
      <c r="A146" s="22" t="s">
        <v>757</v>
      </c>
      <c r="B146" s="22" t="s">
        <v>422</v>
      </c>
      <c r="C146" s="87" t="s">
        <v>839</v>
      </c>
      <c r="D146" s="22" t="s">
        <v>840</v>
      </c>
      <c r="E146" s="22" t="s">
        <v>840</v>
      </c>
      <c r="F146" s="22" t="s">
        <v>598</v>
      </c>
      <c r="G146" s="285" t="s">
        <v>242</v>
      </c>
      <c r="H146" s="22">
        <v>50</v>
      </c>
      <c r="I146" s="164"/>
      <c r="J146" s="21" t="s">
        <v>589</v>
      </c>
      <c r="K146" s="22"/>
      <c r="L146" s="77"/>
      <c r="M146" s="22"/>
      <c r="N146" s="37"/>
      <c r="O146" s="37">
        <v>49896000</v>
      </c>
      <c r="P146" s="37">
        <v>53460000</v>
      </c>
      <c r="Q146" s="37">
        <v>56727000</v>
      </c>
      <c r="R146" s="37">
        <v>58806000</v>
      </c>
      <c r="S146" s="37"/>
      <c r="T146" s="37">
        <f>O146+P146+Q146+R146</f>
        <v>218889000</v>
      </c>
      <c r="U146" s="37">
        <f>T146*1.12</f>
        <v>245155680.00000003</v>
      </c>
      <c r="V146" s="22"/>
      <c r="W146" s="22">
        <v>2013</v>
      </c>
      <c r="X146" s="82"/>
    </row>
    <row r="147" spans="1:24" s="132" customFormat="1" ht="38.25">
      <c r="A147" s="22" t="s">
        <v>928</v>
      </c>
      <c r="B147" s="22" t="s">
        <v>422</v>
      </c>
      <c r="C147" s="87"/>
      <c r="D147" s="22"/>
      <c r="E147" s="195" t="s">
        <v>929</v>
      </c>
      <c r="F147" s="22" t="s">
        <v>931</v>
      </c>
      <c r="G147" s="285" t="s">
        <v>257</v>
      </c>
      <c r="H147" s="22">
        <v>100</v>
      </c>
      <c r="I147" s="196">
        <v>41365</v>
      </c>
      <c r="J147" s="21" t="s">
        <v>930</v>
      </c>
      <c r="K147" s="22"/>
      <c r="L147" s="77"/>
      <c r="M147" s="22"/>
      <c r="N147" s="37">
        <v>433334</v>
      </c>
      <c r="O147" s="37">
        <v>433334</v>
      </c>
      <c r="P147" s="37">
        <v>433334</v>
      </c>
      <c r="Q147" s="164"/>
      <c r="R147" s="37"/>
      <c r="S147" s="37"/>
      <c r="T147" s="37">
        <f>N147+O147+P147+R147</f>
        <v>1300002</v>
      </c>
      <c r="U147" s="37">
        <f>T147*1.12</f>
        <v>1456002.2400000002</v>
      </c>
      <c r="V147" s="22"/>
      <c r="W147" s="22">
        <v>2013</v>
      </c>
      <c r="X147" s="82"/>
    </row>
    <row r="148" spans="1:24" s="132" customFormat="1" ht="38.25">
      <c r="A148" s="22" t="s">
        <v>5</v>
      </c>
      <c r="B148" s="22" t="s">
        <v>422</v>
      </c>
      <c r="C148" s="87"/>
      <c r="D148" s="22"/>
      <c r="E148" s="195" t="s">
        <v>929</v>
      </c>
      <c r="F148" s="22" t="s">
        <v>931</v>
      </c>
      <c r="G148" s="285" t="s">
        <v>257</v>
      </c>
      <c r="H148" s="22">
        <v>100</v>
      </c>
      <c r="I148" s="196">
        <v>41365</v>
      </c>
      <c r="J148" s="21" t="s">
        <v>930</v>
      </c>
      <c r="K148" s="22"/>
      <c r="L148" s="77"/>
      <c r="M148" s="22"/>
      <c r="N148" s="37">
        <v>433334</v>
      </c>
      <c r="O148" s="37">
        <v>433334</v>
      </c>
      <c r="P148" s="37">
        <v>433334</v>
      </c>
      <c r="Q148" s="164"/>
      <c r="R148" s="37"/>
      <c r="S148" s="37"/>
      <c r="T148" s="37">
        <v>0</v>
      </c>
      <c r="U148" s="37">
        <f>T148*1.12</f>
        <v>0</v>
      </c>
      <c r="V148" s="22"/>
      <c r="W148" s="22">
        <v>2013</v>
      </c>
      <c r="X148" s="22" t="s">
        <v>927</v>
      </c>
    </row>
    <row r="149" spans="1:28" s="132" customFormat="1" ht="51">
      <c r="A149" s="22" t="s">
        <v>758</v>
      </c>
      <c r="B149" s="22" t="s">
        <v>422</v>
      </c>
      <c r="C149" s="87"/>
      <c r="D149" s="22" t="s">
        <v>568</v>
      </c>
      <c r="E149" s="85" t="s">
        <v>569</v>
      </c>
      <c r="F149" s="22"/>
      <c r="G149" s="221"/>
      <c r="H149" s="22"/>
      <c r="I149" s="76"/>
      <c r="J149" s="21" t="s">
        <v>566</v>
      </c>
      <c r="K149" s="22"/>
      <c r="L149" s="21"/>
      <c r="M149" s="22"/>
      <c r="N149" s="72"/>
      <c r="O149" s="72">
        <v>2531776500</v>
      </c>
      <c r="P149" s="72">
        <v>2846448000</v>
      </c>
      <c r="Q149" s="72">
        <v>3009352500</v>
      </c>
      <c r="R149" s="72">
        <v>3143002500</v>
      </c>
      <c r="S149" s="37"/>
      <c r="T149" s="37">
        <f>N149+O149+P149+Q149+R149</f>
        <v>11530579500</v>
      </c>
      <c r="U149" s="37">
        <f>T149*1.12</f>
        <v>12914249040.000002</v>
      </c>
      <c r="V149" s="22"/>
      <c r="W149" s="22">
        <v>2013</v>
      </c>
      <c r="X149" s="82"/>
      <c r="Y149" s="136"/>
      <c r="Z149" s="136"/>
      <c r="AA149" s="136"/>
      <c r="AB149" s="136"/>
    </row>
    <row r="150" spans="1:24" s="84" customFormat="1" ht="89.25">
      <c r="A150" s="22" t="s">
        <v>759</v>
      </c>
      <c r="B150" s="22" t="s">
        <v>422</v>
      </c>
      <c r="C150" s="87" t="s">
        <v>839</v>
      </c>
      <c r="D150" s="22" t="s">
        <v>840</v>
      </c>
      <c r="E150" s="42" t="s">
        <v>840</v>
      </c>
      <c r="F150" s="42" t="s">
        <v>565</v>
      </c>
      <c r="G150" s="286" t="s">
        <v>242</v>
      </c>
      <c r="H150" s="42">
        <v>70</v>
      </c>
      <c r="I150" s="76" t="s">
        <v>997</v>
      </c>
      <c r="J150" s="21" t="s">
        <v>566</v>
      </c>
      <c r="K150" s="22"/>
      <c r="L150" s="21" t="s">
        <v>567</v>
      </c>
      <c r="M150" s="182"/>
      <c r="N150" s="137"/>
      <c r="O150" s="137">
        <v>23798811239.03</v>
      </c>
      <c r="P150" s="137">
        <v>28107938650.7</v>
      </c>
      <c r="Q150" s="210">
        <v>31296960387.5</v>
      </c>
      <c r="R150" s="210">
        <v>32710095000</v>
      </c>
      <c r="S150" s="37"/>
      <c r="T150" s="37">
        <f>N150+O150+P150+Q150+R150</f>
        <v>115913805277.23</v>
      </c>
      <c r="U150" s="37">
        <f>T150*1.12</f>
        <v>129823461910.4976</v>
      </c>
      <c r="V150" s="22"/>
      <c r="W150" s="22">
        <v>2012</v>
      </c>
      <c r="X150" s="22" t="s">
        <v>1124</v>
      </c>
    </row>
    <row r="151" spans="1:24" s="84" customFormat="1" ht="63.75">
      <c r="A151" s="22" t="s">
        <v>920</v>
      </c>
      <c r="B151" s="22" t="s">
        <v>422</v>
      </c>
      <c r="C151" s="87" t="s">
        <v>839</v>
      </c>
      <c r="D151" s="22" t="s">
        <v>840</v>
      </c>
      <c r="E151" s="22" t="s">
        <v>840</v>
      </c>
      <c r="F151" s="15" t="s">
        <v>921</v>
      </c>
      <c r="G151" s="221" t="s">
        <v>257</v>
      </c>
      <c r="H151" s="22">
        <v>50</v>
      </c>
      <c r="I151" s="76" t="s">
        <v>922</v>
      </c>
      <c r="J151" s="21" t="s">
        <v>566</v>
      </c>
      <c r="K151" s="22"/>
      <c r="L151" s="68" t="s">
        <v>586</v>
      </c>
      <c r="M151" s="22"/>
      <c r="N151" s="247">
        <v>64779000</v>
      </c>
      <c r="O151" s="247">
        <v>75504000</v>
      </c>
      <c r="P151" s="247">
        <v>75504000</v>
      </c>
      <c r="Q151" s="72"/>
      <c r="R151" s="72"/>
      <c r="S151" s="37"/>
      <c r="T151" s="37">
        <f>N151+O151+P151+Q151+R151</f>
        <v>215787000</v>
      </c>
      <c r="U151" s="37">
        <f aca="true" t="shared" si="9" ref="U151:U156">T151*1.12</f>
        <v>241681440.00000003</v>
      </c>
      <c r="V151" s="22"/>
      <c r="W151" s="22">
        <v>2013</v>
      </c>
      <c r="X151" s="22"/>
    </row>
    <row r="152" spans="1:24" s="84" customFormat="1" ht="51">
      <c r="A152" s="22" t="s">
        <v>617</v>
      </c>
      <c r="B152" s="22" t="s">
        <v>422</v>
      </c>
      <c r="C152" s="67" t="s">
        <v>956</v>
      </c>
      <c r="D152" s="67" t="s">
        <v>957</v>
      </c>
      <c r="E152" s="67" t="s">
        <v>957</v>
      </c>
      <c r="F152" s="15" t="s">
        <v>618</v>
      </c>
      <c r="G152" s="287" t="s">
        <v>242</v>
      </c>
      <c r="H152" s="193">
        <v>0</v>
      </c>
      <c r="I152" s="76">
        <v>41456</v>
      </c>
      <c r="J152" s="21" t="s">
        <v>619</v>
      </c>
      <c r="K152" s="22"/>
      <c r="L152" s="68" t="s">
        <v>586</v>
      </c>
      <c r="M152" s="87"/>
      <c r="N152" s="182">
        <v>5791500</v>
      </c>
      <c r="O152" s="182">
        <v>16839900</v>
      </c>
      <c r="P152" s="182">
        <v>5583600</v>
      </c>
      <c r="Q152" s="404"/>
      <c r="R152" s="72"/>
      <c r="S152" s="37"/>
      <c r="T152" s="37">
        <f>N152+O152+P152</f>
        <v>28215000</v>
      </c>
      <c r="U152" s="37">
        <f t="shared" si="9"/>
        <v>31600800.000000004</v>
      </c>
      <c r="V152" s="22"/>
      <c r="W152" s="22">
        <v>2013</v>
      </c>
      <c r="X152" s="22"/>
    </row>
    <row r="153" spans="1:24" s="84" customFormat="1" ht="38.25">
      <c r="A153" s="22" t="s">
        <v>624</v>
      </c>
      <c r="B153" s="22" t="s">
        <v>422</v>
      </c>
      <c r="C153" s="217" t="s">
        <v>625</v>
      </c>
      <c r="D153" s="67" t="s">
        <v>626</v>
      </c>
      <c r="E153" s="67" t="s">
        <v>626</v>
      </c>
      <c r="F153" s="15" t="s">
        <v>627</v>
      </c>
      <c r="G153" s="287" t="s">
        <v>242</v>
      </c>
      <c r="H153" s="193">
        <v>0</v>
      </c>
      <c r="I153" s="76">
        <v>41426</v>
      </c>
      <c r="J153" s="218" t="s">
        <v>628</v>
      </c>
      <c r="K153" s="22"/>
      <c r="L153" s="68" t="s">
        <v>586</v>
      </c>
      <c r="M153" s="87"/>
      <c r="N153" s="182">
        <v>5136120</v>
      </c>
      <c r="O153" s="182">
        <v>8988210</v>
      </c>
      <c r="P153" s="182">
        <v>8988210</v>
      </c>
      <c r="Q153" s="404"/>
      <c r="R153" s="72"/>
      <c r="S153" s="37"/>
      <c r="T153" s="37">
        <v>23112540</v>
      </c>
      <c r="U153" s="37">
        <f t="shared" si="9"/>
        <v>25886044.8</v>
      </c>
      <c r="V153" s="22"/>
      <c r="W153" s="22">
        <v>2013</v>
      </c>
      <c r="X153" s="22"/>
    </row>
    <row r="154" spans="1:24" s="84" customFormat="1" ht="51">
      <c r="A154" s="22" t="s">
        <v>70</v>
      </c>
      <c r="B154" s="22" t="s">
        <v>422</v>
      </c>
      <c r="C154" s="217" t="s">
        <v>839</v>
      </c>
      <c r="D154" s="67" t="s">
        <v>840</v>
      </c>
      <c r="E154" s="67" t="s">
        <v>840</v>
      </c>
      <c r="F154" s="15" t="s">
        <v>73</v>
      </c>
      <c r="G154" s="287" t="s">
        <v>242</v>
      </c>
      <c r="H154" s="193">
        <v>0</v>
      </c>
      <c r="I154" s="424">
        <v>41518</v>
      </c>
      <c r="J154" s="218" t="s">
        <v>77</v>
      </c>
      <c r="K154" s="22"/>
      <c r="L154" s="68" t="s">
        <v>586</v>
      </c>
      <c r="M154" s="87"/>
      <c r="N154" s="182">
        <v>93480750</v>
      </c>
      <c r="O154" s="182">
        <v>216339255</v>
      </c>
      <c r="P154" s="182">
        <v>216339255</v>
      </c>
      <c r="Q154" s="182">
        <v>216339255</v>
      </c>
      <c r="R154" s="72"/>
      <c r="S154" s="37"/>
      <c r="T154" s="182">
        <f aca="true" t="shared" si="10" ref="T154:T159">SUM(N154:Q154)</f>
        <v>742498515</v>
      </c>
      <c r="U154" s="37">
        <f t="shared" si="9"/>
        <v>831598336.8000001</v>
      </c>
      <c r="V154" s="22"/>
      <c r="W154" s="22">
        <v>2013</v>
      </c>
      <c r="X154" s="22"/>
    </row>
    <row r="155" spans="1:24" s="84" customFormat="1" ht="51">
      <c r="A155" s="22" t="s">
        <v>71</v>
      </c>
      <c r="B155" s="22" t="s">
        <v>422</v>
      </c>
      <c r="C155" s="217" t="s">
        <v>74</v>
      </c>
      <c r="D155" s="67" t="s">
        <v>626</v>
      </c>
      <c r="E155" s="67" t="s">
        <v>626</v>
      </c>
      <c r="F155" s="15" t="s">
        <v>75</v>
      </c>
      <c r="G155" s="287" t="s">
        <v>242</v>
      </c>
      <c r="H155" s="193">
        <v>0</v>
      </c>
      <c r="I155" s="424">
        <v>41518</v>
      </c>
      <c r="J155" s="218" t="s">
        <v>77</v>
      </c>
      <c r="K155" s="22"/>
      <c r="L155" s="68" t="s">
        <v>586</v>
      </c>
      <c r="M155" s="87"/>
      <c r="N155" s="182">
        <v>103473315</v>
      </c>
      <c r="O155" s="182">
        <v>213008400</v>
      </c>
      <c r="P155" s="182">
        <v>213008400</v>
      </c>
      <c r="Q155" s="182">
        <v>213008400</v>
      </c>
      <c r="R155" s="72"/>
      <c r="S155" s="37"/>
      <c r="T155" s="182">
        <f t="shared" si="10"/>
        <v>742498515</v>
      </c>
      <c r="U155" s="37">
        <f t="shared" si="9"/>
        <v>831598336.8000001</v>
      </c>
      <c r="V155" s="22"/>
      <c r="W155" s="22">
        <v>2013</v>
      </c>
      <c r="X155" s="22"/>
    </row>
    <row r="156" spans="1:24" s="84" customFormat="1" ht="51">
      <c r="A156" s="22" t="s">
        <v>72</v>
      </c>
      <c r="B156" s="22" t="s">
        <v>422</v>
      </c>
      <c r="C156" s="67" t="s">
        <v>956</v>
      </c>
      <c r="D156" s="67" t="s">
        <v>957</v>
      </c>
      <c r="E156" s="67" t="s">
        <v>957</v>
      </c>
      <c r="F156" s="15" t="s">
        <v>76</v>
      </c>
      <c r="G156" s="287" t="s">
        <v>242</v>
      </c>
      <c r="H156" s="193">
        <v>0</v>
      </c>
      <c r="I156" s="424">
        <v>41518</v>
      </c>
      <c r="J156" s="218" t="s">
        <v>77</v>
      </c>
      <c r="K156" s="22"/>
      <c r="L156" s="68" t="s">
        <v>586</v>
      </c>
      <c r="M156" s="87"/>
      <c r="N156" s="182">
        <v>11617155</v>
      </c>
      <c r="O156" s="182">
        <v>58628394</v>
      </c>
      <c r="P156" s="182">
        <v>89552628</v>
      </c>
      <c r="Q156" s="182">
        <v>90678406.5</v>
      </c>
      <c r="R156" s="72"/>
      <c r="S156" s="37"/>
      <c r="T156" s="182">
        <f t="shared" si="10"/>
        <v>250476583.5</v>
      </c>
      <c r="U156" s="37">
        <f t="shared" si="9"/>
        <v>280533773.52000004</v>
      </c>
      <c r="V156" s="22"/>
      <c r="W156" s="22">
        <v>2013</v>
      </c>
      <c r="X156" s="22"/>
    </row>
    <row r="157" spans="1:24" s="84" customFormat="1" ht="76.5">
      <c r="A157" s="22" t="s">
        <v>992</v>
      </c>
      <c r="B157" s="22" t="s">
        <v>422</v>
      </c>
      <c r="C157" s="438" t="s">
        <v>993</v>
      </c>
      <c r="D157" s="438" t="s">
        <v>994</v>
      </c>
      <c r="E157" s="438" t="s">
        <v>994</v>
      </c>
      <c r="F157" s="438" t="s">
        <v>995</v>
      </c>
      <c r="G157" s="287" t="s">
        <v>242</v>
      </c>
      <c r="H157" s="193">
        <v>0</v>
      </c>
      <c r="I157" s="424">
        <v>41548</v>
      </c>
      <c r="J157" s="218" t="s">
        <v>996</v>
      </c>
      <c r="K157" s="22"/>
      <c r="L157" s="68" t="s">
        <v>586</v>
      </c>
      <c r="M157" s="87"/>
      <c r="N157" s="182">
        <v>11476500</v>
      </c>
      <c r="O157" s="182">
        <v>45905830</v>
      </c>
      <c r="P157" s="182"/>
      <c r="Q157" s="182"/>
      <c r="R157" s="72"/>
      <c r="S157" s="37"/>
      <c r="T157" s="182">
        <f t="shared" si="10"/>
        <v>57382330</v>
      </c>
      <c r="U157" s="37">
        <f aca="true" t="shared" si="11" ref="U157:U162">T157*1.12</f>
        <v>64268209.60000001</v>
      </c>
      <c r="V157" s="22"/>
      <c r="W157" s="22">
        <v>2013</v>
      </c>
      <c r="X157" s="22"/>
    </row>
    <row r="158" spans="1:24" s="84" customFormat="1" ht="63.75">
      <c r="A158" s="22" t="s">
        <v>1000</v>
      </c>
      <c r="B158" s="22" t="s">
        <v>422</v>
      </c>
      <c r="C158" s="439" t="s">
        <v>1001</v>
      </c>
      <c r="D158" s="439" t="s">
        <v>1002</v>
      </c>
      <c r="E158" s="439" t="s">
        <v>1002</v>
      </c>
      <c r="F158" s="440" t="s">
        <v>1003</v>
      </c>
      <c r="G158" s="287" t="s">
        <v>257</v>
      </c>
      <c r="H158" s="193">
        <v>0</v>
      </c>
      <c r="I158" s="441" t="s">
        <v>1004</v>
      </c>
      <c r="J158" s="441" t="s">
        <v>1005</v>
      </c>
      <c r="K158" s="22"/>
      <c r="L158" s="68" t="s">
        <v>586</v>
      </c>
      <c r="M158" s="87"/>
      <c r="N158" s="182">
        <v>18750000</v>
      </c>
      <c r="O158" s="182">
        <v>26250000</v>
      </c>
      <c r="P158" s="182"/>
      <c r="Q158" s="182"/>
      <c r="R158" s="72"/>
      <c r="S158" s="37"/>
      <c r="T158" s="182">
        <f t="shared" si="10"/>
        <v>45000000</v>
      </c>
      <c r="U158" s="37">
        <f t="shared" si="11"/>
        <v>50400000.00000001</v>
      </c>
      <c r="V158" s="22"/>
      <c r="W158" s="22">
        <v>2013</v>
      </c>
      <c r="X158" s="22"/>
    </row>
    <row r="159" spans="1:24" s="84" customFormat="1" ht="63.75">
      <c r="A159" s="22" t="s">
        <v>1017</v>
      </c>
      <c r="B159" s="22" t="s">
        <v>422</v>
      </c>
      <c r="C159" s="369" t="s">
        <v>1001</v>
      </c>
      <c r="D159" s="369" t="s">
        <v>1002</v>
      </c>
      <c r="E159" s="369" t="s">
        <v>1002</v>
      </c>
      <c r="F159" s="139" t="s">
        <v>1018</v>
      </c>
      <c r="G159" s="287" t="s">
        <v>257</v>
      </c>
      <c r="H159" s="193">
        <v>0</v>
      </c>
      <c r="I159" s="441" t="s">
        <v>1020</v>
      </c>
      <c r="J159" s="218" t="s">
        <v>1019</v>
      </c>
      <c r="K159" s="22"/>
      <c r="L159" s="68" t="s">
        <v>586</v>
      </c>
      <c r="M159" s="87"/>
      <c r="N159" s="182">
        <v>40539529.404</v>
      </c>
      <c r="O159" s="182">
        <v>45172572.58799999</v>
      </c>
      <c r="P159" s="182">
        <v>45172572.58799999</v>
      </c>
      <c r="Q159" s="182"/>
      <c r="R159" s="72"/>
      <c r="S159" s="37"/>
      <c r="T159" s="182">
        <f t="shared" si="10"/>
        <v>130884674.57999998</v>
      </c>
      <c r="U159" s="37">
        <f t="shared" si="11"/>
        <v>146590835.5296</v>
      </c>
      <c r="V159" s="22"/>
      <c r="W159" s="22">
        <v>2013</v>
      </c>
      <c r="X159" s="22"/>
    </row>
    <row r="160" spans="1:24" s="84" customFormat="1" ht="64.5" customHeight="1">
      <c r="A160" s="22" t="s">
        <v>1021</v>
      </c>
      <c r="B160" s="87" t="s">
        <v>422</v>
      </c>
      <c r="C160" s="15" t="s">
        <v>1022</v>
      </c>
      <c r="D160" s="17" t="s">
        <v>1023</v>
      </c>
      <c r="E160" s="17" t="s">
        <v>1023</v>
      </c>
      <c r="F160" s="17" t="s">
        <v>1024</v>
      </c>
      <c r="G160" s="287" t="s">
        <v>242</v>
      </c>
      <c r="H160" s="193">
        <v>0</v>
      </c>
      <c r="I160" s="441" t="s">
        <v>1020</v>
      </c>
      <c r="J160" s="218" t="s">
        <v>1025</v>
      </c>
      <c r="K160" s="22"/>
      <c r="L160" s="68" t="s">
        <v>586</v>
      </c>
      <c r="M160" s="87"/>
      <c r="N160" s="182">
        <v>1049280</v>
      </c>
      <c r="O160" s="182">
        <v>5645853</v>
      </c>
      <c r="P160" s="182">
        <v>8446383</v>
      </c>
      <c r="Q160" s="182">
        <v>8494051</v>
      </c>
      <c r="R160" s="72"/>
      <c r="S160" s="37"/>
      <c r="T160" s="182">
        <f aca="true" t="shared" si="12" ref="T160:T165">SUM(N160:Q160)</f>
        <v>23635567</v>
      </c>
      <c r="U160" s="37">
        <f t="shared" si="11"/>
        <v>26471835.040000003</v>
      </c>
      <c r="V160" s="22"/>
      <c r="W160" s="22">
        <v>2013</v>
      </c>
      <c r="X160" s="22"/>
    </row>
    <row r="161" spans="1:24" s="84" customFormat="1" ht="64.5" customHeight="1">
      <c r="A161" s="22" t="s">
        <v>1041</v>
      </c>
      <c r="B161" s="87" t="s">
        <v>422</v>
      </c>
      <c r="C161" s="15" t="s">
        <v>839</v>
      </c>
      <c r="D161" s="67" t="s">
        <v>840</v>
      </c>
      <c r="E161" s="67" t="s">
        <v>840</v>
      </c>
      <c r="F161" s="15" t="s">
        <v>1042</v>
      </c>
      <c r="G161" s="287" t="s">
        <v>257</v>
      </c>
      <c r="H161" s="193">
        <v>0</v>
      </c>
      <c r="I161" s="441" t="s">
        <v>1043</v>
      </c>
      <c r="J161" s="218" t="s">
        <v>1005</v>
      </c>
      <c r="K161" s="22"/>
      <c r="L161" s="68" t="s">
        <v>586</v>
      </c>
      <c r="M161" s="87"/>
      <c r="N161" s="182">
        <v>10327500</v>
      </c>
      <c r="O161" s="182">
        <v>30982500</v>
      </c>
      <c r="P161" s="182"/>
      <c r="Q161" s="182"/>
      <c r="R161" s="72"/>
      <c r="S161" s="37"/>
      <c r="T161" s="182">
        <f t="shared" si="12"/>
        <v>41310000</v>
      </c>
      <c r="U161" s="37">
        <f t="shared" si="11"/>
        <v>46267200.00000001</v>
      </c>
      <c r="V161" s="22"/>
      <c r="W161" s="22">
        <v>2013</v>
      </c>
      <c r="X161" s="22"/>
    </row>
    <row r="162" spans="1:24" s="84" customFormat="1" ht="64.5" customHeight="1">
      <c r="A162" s="22" t="s">
        <v>1082</v>
      </c>
      <c r="B162" s="87" t="s">
        <v>422</v>
      </c>
      <c r="C162" s="22" t="s">
        <v>839</v>
      </c>
      <c r="D162" s="22" t="s">
        <v>840</v>
      </c>
      <c r="E162" s="22" t="s">
        <v>840</v>
      </c>
      <c r="F162" s="22" t="s">
        <v>1083</v>
      </c>
      <c r="G162" s="287" t="s">
        <v>242</v>
      </c>
      <c r="H162" s="193">
        <v>0</v>
      </c>
      <c r="I162" s="441" t="s">
        <v>1062</v>
      </c>
      <c r="J162" s="218" t="s">
        <v>1084</v>
      </c>
      <c r="K162" s="22"/>
      <c r="L162" s="68" t="s">
        <v>586</v>
      </c>
      <c r="M162" s="87"/>
      <c r="N162" s="182">
        <v>9212792</v>
      </c>
      <c r="O162" s="182">
        <v>75169158.669</v>
      </c>
      <c r="P162" s="182"/>
      <c r="Q162" s="182"/>
      <c r="R162" s="72"/>
      <c r="S162" s="37"/>
      <c r="T162" s="182">
        <f t="shared" si="12"/>
        <v>84381950.669</v>
      </c>
      <c r="U162" s="37">
        <f t="shared" si="11"/>
        <v>94507784.74928</v>
      </c>
      <c r="V162" s="22"/>
      <c r="W162" s="22">
        <v>2013</v>
      </c>
      <c r="X162" s="22"/>
    </row>
    <row r="163" spans="1:24" s="84" customFormat="1" ht="64.5" customHeight="1">
      <c r="A163" s="22" t="s">
        <v>1095</v>
      </c>
      <c r="B163" s="87" t="s">
        <v>422</v>
      </c>
      <c r="C163" s="15" t="s">
        <v>1096</v>
      </c>
      <c r="D163" s="15" t="s">
        <v>1097</v>
      </c>
      <c r="E163" s="15" t="s">
        <v>1097</v>
      </c>
      <c r="F163" s="15" t="s">
        <v>1098</v>
      </c>
      <c r="G163" s="287" t="s">
        <v>257</v>
      </c>
      <c r="H163" s="193">
        <v>100</v>
      </c>
      <c r="I163" s="441" t="s">
        <v>1062</v>
      </c>
      <c r="J163" s="218" t="s">
        <v>1099</v>
      </c>
      <c r="K163" s="22"/>
      <c r="L163" s="68" t="s">
        <v>586</v>
      </c>
      <c r="M163" s="87"/>
      <c r="N163" s="182">
        <v>11773565</v>
      </c>
      <c r="O163" s="182">
        <v>70641000</v>
      </c>
      <c r="P163" s="182"/>
      <c r="Q163" s="182"/>
      <c r="R163" s="72"/>
      <c r="S163" s="37"/>
      <c r="T163" s="182">
        <f t="shared" si="12"/>
        <v>82414565</v>
      </c>
      <c r="U163" s="37">
        <f aca="true" t="shared" si="13" ref="U163:U194">T163*1.12</f>
        <v>92304312.80000001</v>
      </c>
      <c r="V163" s="22"/>
      <c r="W163" s="22">
        <v>2013</v>
      </c>
      <c r="X163" s="22"/>
    </row>
    <row r="164" spans="1:24" s="84" customFormat="1" ht="64.5" customHeight="1">
      <c r="A164" s="22" t="s">
        <v>1104</v>
      </c>
      <c r="B164" s="87" t="s">
        <v>422</v>
      </c>
      <c r="C164" s="452" t="s">
        <v>956</v>
      </c>
      <c r="D164" s="452" t="s">
        <v>957</v>
      </c>
      <c r="E164" s="452" t="s">
        <v>957</v>
      </c>
      <c r="F164" s="453" t="s">
        <v>1103</v>
      </c>
      <c r="G164" s="287" t="s">
        <v>257</v>
      </c>
      <c r="H164" s="193">
        <v>0</v>
      </c>
      <c r="I164" s="441" t="s">
        <v>1062</v>
      </c>
      <c r="J164" s="218" t="s">
        <v>1105</v>
      </c>
      <c r="K164" s="22"/>
      <c r="L164" s="68" t="s">
        <v>586</v>
      </c>
      <c r="M164" s="87"/>
      <c r="N164" s="182">
        <v>400000</v>
      </c>
      <c r="O164" s="182">
        <v>6850000</v>
      </c>
      <c r="P164" s="182">
        <v>6850000</v>
      </c>
      <c r="Q164" s="182"/>
      <c r="R164" s="72"/>
      <c r="S164" s="37"/>
      <c r="T164" s="182">
        <f t="shared" si="12"/>
        <v>14100000</v>
      </c>
      <c r="U164" s="37">
        <f t="shared" si="13"/>
        <v>15792000.000000002</v>
      </c>
      <c r="V164" s="22"/>
      <c r="W164" s="22">
        <v>2013</v>
      </c>
      <c r="X164" s="22"/>
    </row>
    <row r="165" spans="1:24" s="84" customFormat="1" ht="64.5" customHeight="1">
      <c r="A165" s="22" t="s">
        <v>1106</v>
      </c>
      <c r="B165" s="87" t="s">
        <v>422</v>
      </c>
      <c r="C165" s="211" t="s">
        <v>539</v>
      </c>
      <c r="D165" s="211" t="s">
        <v>540</v>
      </c>
      <c r="E165" s="211" t="s">
        <v>540</v>
      </c>
      <c r="F165" s="449" t="s">
        <v>1107</v>
      </c>
      <c r="G165" s="287" t="s">
        <v>257</v>
      </c>
      <c r="H165" s="193">
        <v>0</v>
      </c>
      <c r="I165" s="454" t="s">
        <v>1108</v>
      </c>
      <c r="J165" s="212" t="s">
        <v>1109</v>
      </c>
      <c r="K165" s="22"/>
      <c r="L165" s="68" t="s">
        <v>586</v>
      </c>
      <c r="M165" s="87"/>
      <c r="N165" s="182">
        <v>250000</v>
      </c>
      <c r="O165" s="182">
        <v>230420</v>
      </c>
      <c r="P165" s="182"/>
      <c r="Q165" s="182"/>
      <c r="R165" s="72"/>
      <c r="S165" s="37"/>
      <c r="T165" s="182">
        <f t="shared" si="12"/>
        <v>480420</v>
      </c>
      <c r="U165" s="37">
        <f t="shared" si="13"/>
        <v>538070.4</v>
      </c>
      <c r="V165" s="22"/>
      <c r="W165" s="22">
        <v>2013</v>
      </c>
      <c r="X165" s="22"/>
    </row>
    <row r="166" spans="1:24" s="84" customFormat="1" ht="64.5" customHeight="1">
      <c r="A166" s="22" t="s">
        <v>1110</v>
      </c>
      <c r="B166" s="87" t="s">
        <v>422</v>
      </c>
      <c r="C166" s="217" t="s">
        <v>839</v>
      </c>
      <c r="D166" s="67" t="s">
        <v>840</v>
      </c>
      <c r="E166" s="67" t="s">
        <v>840</v>
      </c>
      <c r="F166" s="15" t="s">
        <v>1111</v>
      </c>
      <c r="G166" s="287" t="s">
        <v>257</v>
      </c>
      <c r="H166" s="193">
        <v>0</v>
      </c>
      <c r="I166" s="454" t="s">
        <v>1108</v>
      </c>
      <c r="J166" s="218" t="s">
        <v>1112</v>
      </c>
      <c r="K166" s="22"/>
      <c r="L166" s="68" t="s">
        <v>586</v>
      </c>
      <c r="M166" s="87"/>
      <c r="N166" s="455">
        <v>46368000</v>
      </c>
      <c r="O166" s="182">
        <v>556416000</v>
      </c>
      <c r="P166" s="182"/>
      <c r="Q166" s="182"/>
      <c r="R166" s="72"/>
      <c r="S166" s="37"/>
      <c r="T166" s="182">
        <f>SUM(N166:Q166)</f>
        <v>602784000</v>
      </c>
      <c r="U166" s="37">
        <f t="shared" si="13"/>
        <v>675118080.0000001</v>
      </c>
      <c r="V166" s="22"/>
      <c r="W166" s="22">
        <v>2013</v>
      </c>
      <c r="X166" s="22"/>
    </row>
    <row r="167" spans="1:24" s="84" customFormat="1" ht="64.5" customHeight="1">
      <c r="A167" s="22" t="s">
        <v>1113</v>
      </c>
      <c r="B167" s="87" t="s">
        <v>422</v>
      </c>
      <c r="C167" s="22" t="s">
        <v>839</v>
      </c>
      <c r="D167" s="22" t="s">
        <v>840</v>
      </c>
      <c r="E167" s="22" t="s">
        <v>840</v>
      </c>
      <c r="F167" s="22" t="s">
        <v>1114</v>
      </c>
      <c r="G167" s="287" t="s">
        <v>257</v>
      </c>
      <c r="H167" s="193">
        <v>100</v>
      </c>
      <c r="I167" s="454" t="s">
        <v>1108</v>
      </c>
      <c r="J167" s="218" t="s">
        <v>1115</v>
      </c>
      <c r="K167" s="22"/>
      <c r="L167" s="68" t="s">
        <v>586</v>
      </c>
      <c r="M167" s="87"/>
      <c r="N167" s="368">
        <v>272540</v>
      </c>
      <c r="O167" s="368">
        <v>272540</v>
      </c>
      <c r="P167" s="368">
        <v>272540</v>
      </c>
      <c r="Q167" s="182"/>
      <c r="R167" s="72"/>
      <c r="S167" s="37"/>
      <c r="T167" s="182">
        <f>SUM(N167:Q167)</f>
        <v>817620</v>
      </c>
      <c r="U167" s="37">
        <f t="shared" si="13"/>
        <v>915734.4000000001</v>
      </c>
      <c r="V167" s="22"/>
      <c r="W167" s="22">
        <v>2013</v>
      </c>
      <c r="X167" s="22"/>
    </row>
    <row r="168" spans="1:24" s="84" customFormat="1" ht="79.5" customHeight="1">
      <c r="A168" s="22" t="s">
        <v>1116</v>
      </c>
      <c r="B168" s="87" t="s">
        <v>422</v>
      </c>
      <c r="C168" s="15" t="s">
        <v>993</v>
      </c>
      <c r="D168" s="15" t="s">
        <v>994</v>
      </c>
      <c r="E168" s="15" t="s">
        <v>994</v>
      </c>
      <c r="F168" s="15" t="s">
        <v>1117</v>
      </c>
      <c r="G168" s="287" t="s">
        <v>257</v>
      </c>
      <c r="H168" s="193">
        <v>100</v>
      </c>
      <c r="I168" s="454" t="s">
        <v>1108</v>
      </c>
      <c r="J168" s="212" t="s">
        <v>1118</v>
      </c>
      <c r="K168" s="22"/>
      <c r="L168" s="68" t="s">
        <v>586</v>
      </c>
      <c r="M168" s="87"/>
      <c r="N168" s="368">
        <v>10200000</v>
      </c>
      <c r="O168" s="368">
        <v>19800000</v>
      </c>
      <c r="P168" s="368"/>
      <c r="Q168" s="182"/>
      <c r="R168" s="72"/>
      <c r="S168" s="37"/>
      <c r="T168" s="182">
        <v>0</v>
      </c>
      <c r="U168" s="37">
        <f t="shared" si="13"/>
        <v>0</v>
      </c>
      <c r="V168" s="22"/>
      <c r="W168" s="22">
        <v>2013</v>
      </c>
      <c r="X168" s="22" t="s">
        <v>927</v>
      </c>
    </row>
    <row r="169" spans="1:24" s="84" customFormat="1" ht="79.5" customHeight="1">
      <c r="A169" s="22" t="s">
        <v>1121</v>
      </c>
      <c r="B169" s="87" t="s">
        <v>422</v>
      </c>
      <c r="C169" s="22" t="s">
        <v>839</v>
      </c>
      <c r="D169" s="22" t="s">
        <v>840</v>
      </c>
      <c r="E169" s="22" t="s">
        <v>840</v>
      </c>
      <c r="F169" s="15" t="s">
        <v>1122</v>
      </c>
      <c r="G169" s="287" t="s">
        <v>257</v>
      </c>
      <c r="H169" s="193">
        <v>0</v>
      </c>
      <c r="I169" s="454" t="s">
        <v>1108</v>
      </c>
      <c r="J169" s="212" t="s">
        <v>1112</v>
      </c>
      <c r="K169" s="22"/>
      <c r="L169" s="68" t="s">
        <v>586</v>
      </c>
      <c r="M169" s="87"/>
      <c r="N169" s="368">
        <v>3153846</v>
      </c>
      <c r="O169" s="368">
        <v>37846154</v>
      </c>
      <c r="P169" s="368"/>
      <c r="Q169" s="182"/>
      <c r="R169" s="72"/>
      <c r="S169" s="37"/>
      <c r="T169" s="182">
        <v>41000000</v>
      </c>
      <c r="U169" s="37">
        <f>T169*1.12</f>
        <v>45920000.00000001</v>
      </c>
      <c r="V169" s="22"/>
      <c r="W169" s="22">
        <v>2013</v>
      </c>
      <c r="X169" s="22"/>
    </row>
    <row r="170" spans="1:24" s="84" customFormat="1" ht="51">
      <c r="A170" s="22" t="s">
        <v>760</v>
      </c>
      <c r="B170" s="22" t="s">
        <v>422</v>
      </c>
      <c r="C170" s="378" t="s">
        <v>839</v>
      </c>
      <c r="D170" s="193" t="s">
        <v>840</v>
      </c>
      <c r="E170" s="193" t="s">
        <v>840</v>
      </c>
      <c r="F170" s="194" t="s">
        <v>844</v>
      </c>
      <c r="G170" s="287" t="s">
        <v>242</v>
      </c>
      <c r="H170" s="193"/>
      <c r="I170" s="76" t="s">
        <v>474</v>
      </c>
      <c r="J170" s="21" t="s">
        <v>566</v>
      </c>
      <c r="K170" s="22"/>
      <c r="L170" s="21" t="s">
        <v>567</v>
      </c>
      <c r="M170" s="22"/>
      <c r="N170" s="191">
        <v>243606660.33</v>
      </c>
      <c r="O170" s="191">
        <v>243606660.33</v>
      </c>
      <c r="P170" s="191">
        <v>243606660.33</v>
      </c>
      <c r="Q170" s="192"/>
      <c r="R170" s="72"/>
      <c r="S170" s="37"/>
      <c r="T170" s="37">
        <f>N170+O170+P170</f>
        <v>730819980.99</v>
      </c>
      <c r="U170" s="37">
        <f t="shared" si="13"/>
        <v>818518378.7088001</v>
      </c>
      <c r="V170" s="22"/>
      <c r="W170" s="22">
        <v>2012</v>
      </c>
      <c r="X170" s="22"/>
    </row>
    <row r="171" spans="1:24" s="84" customFormat="1" ht="51">
      <c r="A171" s="22" t="s">
        <v>761</v>
      </c>
      <c r="B171" s="22" t="s">
        <v>422</v>
      </c>
      <c r="C171" s="87" t="s">
        <v>839</v>
      </c>
      <c r="D171" s="22" t="s">
        <v>840</v>
      </c>
      <c r="E171" s="22" t="s">
        <v>840</v>
      </c>
      <c r="F171" s="23" t="s">
        <v>845</v>
      </c>
      <c r="G171" s="221" t="s">
        <v>242</v>
      </c>
      <c r="H171" s="22"/>
      <c r="I171" s="76" t="s">
        <v>474</v>
      </c>
      <c r="J171" s="21" t="s">
        <v>566</v>
      </c>
      <c r="K171" s="22"/>
      <c r="L171" s="21" t="s">
        <v>567</v>
      </c>
      <c r="M171" s="22"/>
      <c r="N171" s="121">
        <v>13182983</v>
      </c>
      <c r="O171" s="121">
        <v>13182983</v>
      </c>
      <c r="P171" s="121">
        <v>13182983</v>
      </c>
      <c r="Q171" s="72"/>
      <c r="R171" s="72"/>
      <c r="S171" s="37"/>
      <c r="T171" s="37">
        <f aca="true" t="shared" si="14" ref="T171:T186">N171+O171+P171</f>
        <v>39548949</v>
      </c>
      <c r="U171" s="37">
        <f t="shared" si="13"/>
        <v>44294822.88</v>
      </c>
      <c r="V171" s="22"/>
      <c r="W171" s="22">
        <v>2012</v>
      </c>
      <c r="X171" s="22"/>
    </row>
    <row r="172" spans="1:24" s="84" customFormat="1" ht="51">
      <c r="A172" s="22" t="s">
        <v>762</v>
      </c>
      <c r="B172" s="22" t="s">
        <v>422</v>
      </c>
      <c r="C172" s="87" t="s">
        <v>839</v>
      </c>
      <c r="D172" s="22" t="s">
        <v>840</v>
      </c>
      <c r="E172" s="22" t="s">
        <v>840</v>
      </c>
      <c r="F172" s="23" t="s">
        <v>846</v>
      </c>
      <c r="G172" s="221" t="s">
        <v>242</v>
      </c>
      <c r="H172" s="22"/>
      <c r="I172" s="76" t="s">
        <v>474</v>
      </c>
      <c r="J172" s="21" t="s">
        <v>566</v>
      </c>
      <c r="K172" s="22"/>
      <c r="L172" s="21" t="s">
        <v>567</v>
      </c>
      <c r="M172" s="22"/>
      <c r="N172" s="121">
        <v>155990190.33</v>
      </c>
      <c r="O172" s="121">
        <v>155990190.33</v>
      </c>
      <c r="P172" s="121">
        <v>155990190.33</v>
      </c>
      <c r="Q172" s="72"/>
      <c r="R172" s="72"/>
      <c r="S172" s="37"/>
      <c r="T172" s="37">
        <f t="shared" si="14"/>
        <v>467970570.99</v>
      </c>
      <c r="U172" s="37">
        <f t="shared" si="13"/>
        <v>524127039.5088001</v>
      </c>
      <c r="V172" s="22"/>
      <c r="W172" s="22">
        <v>2012</v>
      </c>
      <c r="X172" s="22"/>
    </row>
    <row r="173" spans="1:24" s="84" customFormat="1" ht="51">
      <c r="A173" s="22" t="s">
        <v>763</v>
      </c>
      <c r="B173" s="22" t="s">
        <v>422</v>
      </c>
      <c r="C173" s="87" t="s">
        <v>839</v>
      </c>
      <c r="D173" s="22" t="s">
        <v>840</v>
      </c>
      <c r="E173" s="22" t="s">
        <v>840</v>
      </c>
      <c r="F173" s="23" t="s">
        <v>847</v>
      </c>
      <c r="G173" s="221" t="s">
        <v>242</v>
      </c>
      <c r="H173" s="22"/>
      <c r="I173" s="76" t="s">
        <v>474</v>
      </c>
      <c r="J173" s="21" t="s">
        <v>566</v>
      </c>
      <c r="K173" s="22"/>
      <c r="L173" s="21" t="s">
        <v>567</v>
      </c>
      <c r="M173" s="22"/>
      <c r="N173" s="121">
        <v>14532089</v>
      </c>
      <c r="O173" s="121">
        <v>14532089</v>
      </c>
      <c r="P173" s="121">
        <v>14532089</v>
      </c>
      <c r="Q173" s="72"/>
      <c r="R173" s="72"/>
      <c r="S173" s="37"/>
      <c r="T173" s="37">
        <f t="shared" si="14"/>
        <v>43596267</v>
      </c>
      <c r="U173" s="37">
        <f t="shared" si="13"/>
        <v>48827819.04000001</v>
      </c>
      <c r="V173" s="22"/>
      <c r="W173" s="22">
        <v>2012</v>
      </c>
      <c r="X173" s="22"/>
    </row>
    <row r="174" spans="1:24" s="84" customFormat="1" ht="63.75">
      <c r="A174" s="22" t="s">
        <v>764</v>
      </c>
      <c r="B174" s="22" t="s">
        <v>422</v>
      </c>
      <c r="C174" s="87" t="s">
        <v>839</v>
      </c>
      <c r="D174" s="22" t="s">
        <v>840</v>
      </c>
      <c r="E174" s="22" t="s">
        <v>840</v>
      </c>
      <c r="F174" s="23" t="s">
        <v>848</v>
      </c>
      <c r="G174" s="221" t="s">
        <v>242</v>
      </c>
      <c r="H174" s="22"/>
      <c r="I174" s="76" t="s">
        <v>474</v>
      </c>
      <c r="J174" s="21" t="s">
        <v>566</v>
      </c>
      <c r="K174" s="22"/>
      <c r="L174" s="21" t="s">
        <v>567</v>
      </c>
      <c r="M174" s="22"/>
      <c r="N174" s="121">
        <v>35924110.67</v>
      </c>
      <c r="O174" s="121">
        <v>35924110.67</v>
      </c>
      <c r="P174" s="121">
        <v>35924110.67</v>
      </c>
      <c r="Q174" s="72"/>
      <c r="R174" s="72"/>
      <c r="S174" s="37"/>
      <c r="T174" s="37">
        <f t="shared" si="14"/>
        <v>107772332.01</v>
      </c>
      <c r="U174" s="37">
        <f t="shared" si="13"/>
        <v>120705011.85120001</v>
      </c>
      <c r="V174" s="22"/>
      <c r="W174" s="22">
        <v>2012</v>
      </c>
      <c r="X174" s="22"/>
    </row>
    <row r="175" spans="1:24" s="84" customFormat="1" ht="51">
      <c r="A175" s="22" t="s">
        <v>765</v>
      </c>
      <c r="B175" s="22" t="s">
        <v>422</v>
      </c>
      <c r="C175" s="87" t="s">
        <v>839</v>
      </c>
      <c r="D175" s="22" t="s">
        <v>840</v>
      </c>
      <c r="E175" s="22" t="s">
        <v>840</v>
      </c>
      <c r="F175" s="23" t="s">
        <v>849</v>
      </c>
      <c r="G175" s="221" t="s">
        <v>242</v>
      </c>
      <c r="H175" s="22"/>
      <c r="I175" s="76" t="s">
        <v>474</v>
      </c>
      <c r="J175" s="21" t="s">
        <v>566</v>
      </c>
      <c r="K175" s="22"/>
      <c r="L175" s="21" t="s">
        <v>567</v>
      </c>
      <c r="M175" s="22"/>
      <c r="N175" s="121">
        <v>79066954.67</v>
      </c>
      <c r="O175" s="121">
        <v>79066954.67</v>
      </c>
      <c r="P175" s="121">
        <v>79066954.67</v>
      </c>
      <c r="Q175" s="72"/>
      <c r="R175" s="72"/>
      <c r="S175" s="37"/>
      <c r="T175" s="37">
        <f t="shared" si="14"/>
        <v>237200864.01</v>
      </c>
      <c r="U175" s="37">
        <f t="shared" si="13"/>
        <v>265664967.69120002</v>
      </c>
      <c r="V175" s="22"/>
      <c r="W175" s="22">
        <v>2012</v>
      </c>
      <c r="X175" s="22"/>
    </row>
    <row r="176" spans="1:24" s="84" customFormat="1" ht="51">
      <c r="A176" s="22" t="s">
        <v>766</v>
      </c>
      <c r="B176" s="22" t="s">
        <v>422</v>
      </c>
      <c r="C176" s="87" t="s">
        <v>839</v>
      </c>
      <c r="D176" s="22" t="s">
        <v>840</v>
      </c>
      <c r="E176" s="22" t="s">
        <v>840</v>
      </c>
      <c r="F176" s="23" t="s">
        <v>850</v>
      </c>
      <c r="G176" s="221" t="s">
        <v>242</v>
      </c>
      <c r="H176" s="22"/>
      <c r="I176" s="76" t="s">
        <v>474</v>
      </c>
      <c r="J176" s="21" t="s">
        <v>566</v>
      </c>
      <c r="K176" s="22"/>
      <c r="L176" s="21" t="s">
        <v>567</v>
      </c>
      <c r="M176" s="22"/>
      <c r="N176" s="121">
        <v>5741471</v>
      </c>
      <c r="O176" s="121">
        <v>5741471</v>
      </c>
      <c r="P176" s="121">
        <v>5741471</v>
      </c>
      <c r="Q176" s="72"/>
      <c r="R176" s="72"/>
      <c r="S176" s="37"/>
      <c r="T176" s="37">
        <f t="shared" si="14"/>
        <v>17224413</v>
      </c>
      <c r="U176" s="37">
        <f t="shared" si="13"/>
        <v>19291342.560000002</v>
      </c>
      <c r="V176" s="22"/>
      <c r="W176" s="22">
        <v>2012</v>
      </c>
      <c r="X176" s="22"/>
    </row>
    <row r="177" spans="1:24" s="84" customFormat="1" ht="51">
      <c r="A177" s="22" t="s">
        <v>767</v>
      </c>
      <c r="B177" s="22" t="s">
        <v>422</v>
      </c>
      <c r="C177" s="87" t="s">
        <v>839</v>
      </c>
      <c r="D177" s="22" t="s">
        <v>840</v>
      </c>
      <c r="E177" s="22" t="s">
        <v>840</v>
      </c>
      <c r="F177" s="163" t="s">
        <v>851</v>
      </c>
      <c r="G177" s="221" t="s">
        <v>242</v>
      </c>
      <c r="H177" s="22"/>
      <c r="I177" s="76" t="s">
        <v>474</v>
      </c>
      <c r="J177" s="21" t="s">
        <v>566</v>
      </c>
      <c r="K177" s="22"/>
      <c r="L177" s="21" t="s">
        <v>567</v>
      </c>
      <c r="M177" s="22"/>
      <c r="N177" s="121">
        <v>3891333.33</v>
      </c>
      <c r="O177" s="121">
        <v>3891333.33</v>
      </c>
      <c r="P177" s="121">
        <v>3891333.33</v>
      </c>
      <c r="Q177" s="72"/>
      <c r="R177" s="72"/>
      <c r="S177" s="37"/>
      <c r="T177" s="37">
        <f t="shared" si="14"/>
        <v>11673999.99</v>
      </c>
      <c r="U177" s="37">
        <f t="shared" si="13"/>
        <v>13074879.988800002</v>
      </c>
      <c r="V177" s="22"/>
      <c r="W177" s="22">
        <v>2012</v>
      </c>
      <c r="X177" s="22"/>
    </row>
    <row r="178" spans="1:24" s="84" customFormat="1" ht="51">
      <c r="A178" s="22" t="s">
        <v>768</v>
      </c>
      <c r="B178" s="22" t="s">
        <v>422</v>
      </c>
      <c r="C178" s="87" t="s">
        <v>839</v>
      </c>
      <c r="D178" s="22" t="s">
        <v>840</v>
      </c>
      <c r="E178" s="22" t="s">
        <v>840</v>
      </c>
      <c r="F178" s="23" t="s">
        <v>852</v>
      </c>
      <c r="G178" s="221" t="s">
        <v>242</v>
      </c>
      <c r="H178" s="22"/>
      <c r="I178" s="76" t="s">
        <v>474</v>
      </c>
      <c r="J178" s="21" t="s">
        <v>566</v>
      </c>
      <c r="K178" s="22"/>
      <c r="L178" s="21" t="s">
        <v>567</v>
      </c>
      <c r="M178" s="22"/>
      <c r="N178" s="121">
        <v>76871520</v>
      </c>
      <c r="O178" s="121">
        <v>76871520</v>
      </c>
      <c r="P178" s="121">
        <v>76871520</v>
      </c>
      <c r="Q178" s="72"/>
      <c r="R178" s="72"/>
      <c r="S178" s="37"/>
      <c r="T178" s="37">
        <f t="shared" si="14"/>
        <v>230614560</v>
      </c>
      <c r="U178" s="37">
        <f t="shared" si="13"/>
        <v>258288307.20000002</v>
      </c>
      <c r="V178" s="22"/>
      <c r="W178" s="22">
        <v>2012</v>
      </c>
      <c r="X178" s="22"/>
    </row>
    <row r="179" spans="1:24" s="84" customFormat="1" ht="51">
      <c r="A179" s="22" t="s">
        <v>769</v>
      </c>
      <c r="B179" s="22" t="s">
        <v>422</v>
      </c>
      <c r="C179" s="87" t="s">
        <v>839</v>
      </c>
      <c r="D179" s="22" t="s">
        <v>840</v>
      </c>
      <c r="E179" s="22" t="s">
        <v>840</v>
      </c>
      <c r="F179" s="23" t="s">
        <v>853</v>
      </c>
      <c r="G179" s="221" t="s">
        <v>242</v>
      </c>
      <c r="H179" s="22"/>
      <c r="I179" s="76" t="s">
        <v>474</v>
      </c>
      <c r="J179" s="21" t="s">
        <v>566</v>
      </c>
      <c r="K179" s="22"/>
      <c r="L179" s="21" t="s">
        <v>567</v>
      </c>
      <c r="M179" s="22"/>
      <c r="N179" s="121">
        <v>8872116</v>
      </c>
      <c r="O179" s="121">
        <v>8872116</v>
      </c>
      <c r="P179" s="121">
        <v>8872116</v>
      </c>
      <c r="Q179" s="72"/>
      <c r="R179" s="72"/>
      <c r="S179" s="37"/>
      <c r="T179" s="37">
        <f t="shared" si="14"/>
        <v>26616348</v>
      </c>
      <c r="U179" s="37">
        <f t="shared" si="13"/>
        <v>29810309.76</v>
      </c>
      <c r="V179" s="22"/>
      <c r="W179" s="22">
        <v>2012</v>
      </c>
      <c r="X179" s="22"/>
    </row>
    <row r="180" spans="1:24" s="84" customFormat="1" ht="51">
      <c r="A180" s="22" t="s">
        <v>770</v>
      </c>
      <c r="B180" s="22" t="s">
        <v>422</v>
      </c>
      <c r="C180" s="87" t="s">
        <v>839</v>
      </c>
      <c r="D180" s="22" t="s">
        <v>840</v>
      </c>
      <c r="E180" s="22" t="s">
        <v>840</v>
      </c>
      <c r="F180" s="23" t="s">
        <v>854</v>
      </c>
      <c r="G180" s="221" t="s">
        <v>242</v>
      </c>
      <c r="H180" s="22"/>
      <c r="I180" s="76" t="s">
        <v>474</v>
      </c>
      <c r="J180" s="21" t="s">
        <v>566</v>
      </c>
      <c r="K180" s="22"/>
      <c r="L180" s="21" t="s">
        <v>567</v>
      </c>
      <c r="M180" s="22"/>
      <c r="N180" s="121">
        <v>3920400</v>
      </c>
      <c r="O180" s="121">
        <v>3920400</v>
      </c>
      <c r="P180" s="121">
        <v>3920400</v>
      </c>
      <c r="Q180" s="72"/>
      <c r="R180" s="72"/>
      <c r="S180" s="37"/>
      <c r="T180" s="37">
        <f t="shared" si="14"/>
        <v>11761200</v>
      </c>
      <c r="U180" s="37">
        <f t="shared" si="13"/>
        <v>13172544.000000002</v>
      </c>
      <c r="V180" s="22"/>
      <c r="W180" s="22">
        <v>2012</v>
      </c>
      <c r="X180" s="22"/>
    </row>
    <row r="181" spans="1:24" s="84" customFormat="1" ht="63.75">
      <c r="A181" s="22" t="s">
        <v>771</v>
      </c>
      <c r="B181" s="22" t="s">
        <v>422</v>
      </c>
      <c r="C181" s="87" t="s">
        <v>839</v>
      </c>
      <c r="D181" s="22" t="s">
        <v>840</v>
      </c>
      <c r="E181" s="22" t="s">
        <v>840</v>
      </c>
      <c r="F181" s="163" t="s">
        <v>855</v>
      </c>
      <c r="G181" s="221" t="s">
        <v>242</v>
      </c>
      <c r="H181" s="22"/>
      <c r="I181" s="76" t="s">
        <v>474</v>
      </c>
      <c r="J181" s="21" t="s">
        <v>566</v>
      </c>
      <c r="K181" s="22"/>
      <c r="L181" s="21" t="s">
        <v>567</v>
      </c>
      <c r="M181" s="22"/>
      <c r="N181" s="121">
        <v>6138000</v>
      </c>
      <c r="O181" s="121">
        <v>6138000</v>
      </c>
      <c r="P181" s="121">
        <v>6138000</v>
      </c>
      <c r="Q181" s="72"/>
      <c r="R181" s="72"/>
      <c r="S181" s="37"/>
      <c r="T181" s="37">
        <f t="shared" si="14"/>
        <v>18414000</v>
      </c>
      <c r="U181" s="37">
        <f t="shared" si="13"/>
        <v>20623680.000000004</v>
      </c>
      <c r="V181" s="22"/>
      <c r="W181" s="22">
        <v>2012</v>
      </c>
      <c r="X181" s="22"/>
    </row>
    <row r="182" spans="1:24" s="84" customFormat="1" ht="51">
      <c r="A182" s="22" t="s">
        <v>772</v>
      </c>
      <c r="B182" s="22" t="s">
        <v>422</v>
      </c>
      <c r="C182" s="87" t="s">
        <v>839</v>
      </c>
      <c r="D182" s="22" t="s">
        <v>840</v>
      </c>
      <c r="E182" s="22" t="s">
        <v>840</v>
      </c>
      <c r="F182" s="214" t="s">
        <v>904</v>
      </c>
      <c r="G182" s="221" t="s">
        <v>242</v>
      </c>
      <c r="H182" s="22"/>
      <c r="I182" s="76" t="s">
        <v>908</v>
      </c>
      <c r="J182" s="21" t="s">
        <v>566</v>
      </c>
      <c r="K182" s="22"/>
      <c r="L182" s="21" t="s">
        <v>567</v>
      </c>
      <c r="M182" s="22"/>
      <c r="N182" s="121">
        <v>29900957.77</v>
      </c>
      <c r="O182" s="121">
        <v>29900957.77</v>
      </c>
      <c r="P182" s="121">
        <v>29900957.77</v>
      </c>
      <c r="Q182" s="72"/>
      <c r="R182" s="72"/>
      <c r="S182" s="37"/>
      <c r="T182" s="37">
        <f>N182+O182+P182</f>
        <v>89702873.31</v>
      </c>
      <c r="U182" s="37">
        <f t="shared" si="13"/>
        <v>100467218.10720001</v>
      </c>
      <c r="V182" s="22"/>
      <c r="W182" s="22">
        <v>2013</v>
      </c>
      <c r="X182" s="22"/>
    </row>
    <row r="183" spans="1:24" s="84" customFormat="1" ht="51">
      <c r="A183" s="22" t="s">
        <v>773</v>
      </c>
      <c r="B183" s="22" t="s">
        <v>422</v>
      </c>
      <c r="C183" s="87" t="s">
        <v>839</v>
      </c>
      <c r="D183" s="22" t="s">
        <v>840</v>
      </c>
      <c r="E183" s="22" t="s">
        <v>840</v>
      </c>
      <c r="F183" s="215" t="s">
        <v>905</v>
      </c>
      <c r="G183" s="221" t="s">
        <v>242</v>
      </c>
      <c r="H183" s="22"/>
      <c r="I183" s="76" t="s">
        <v>908</v>
      </c>
      <c r="J183" s="21" t="s">
        <v>566</v>
      </c>
      <c r="K183" s="22"/>
      <c r="L183" s="21" t="s">
        <v>567</v>
      </c>
      <c r="M183" s="22"/>
      <c r="N183" s="121">
        <v>3184136.98</v>
      </c>
      <c r="O183" s="121">
        <v>3184136.98</v>
      </c>
      <c r="P183" s="121">
        <v>3184136.98</v>
      </c>
      <c r="Q183" s="72"/>
      <c r="R183" s="72"/>
      <c r="S183" s="37"/>
      <c r="T183" s="37">
        <f>N183+O183+P183</f>
        <v>9552410.94</v>
      </c>
      <c r="U183" s="37">
        <f t="shared" si="13"/>
        <v>10698700.2528</v>
      </c>
      <c r="V183" s="22"/>
      <c r="W183" s="22">
        <v>2013</v>
      </c>
      <c r="X183" s="22"/>
    </row>
    <row r="184" spans="1:24" s="84" customFormat="1" ht="51">
      <c r="A184" s="22" t="s">
        <v>774</v>
      </c>
      <c r="B184" s="22" t="s">
        <v>422</v>
      </c>
      <c r="C184" s="87" t="s">
        <v>839</v>
      </c>
      <c r="D184" s="22" t="s">
        <v>840</v>
      </c>
      <c r="E184" s="22" t="s">
        <v>840</v>
      </c>
      <c r="F184" s="215" t="s">
        <v>906</v>
      </c>
      <c r="G184" s="221" t="s">
        <v>242</v>
      </c>
      <c r="H184" s="22"/>
      <c r="I184" s="76" t="s">
        <v>908</v>
      </c>
      <c r="J184" s="21" t="s">
        <v>566</v>
      </c>
      <c r="K184" s="22"/>
      <c r="L184" s="21" t="s">
        <v>567</v>
      </c>
      <c r="M184" s="22"/>
      <c r="N184" s="121">
        <v>2977038.85</v>
      </c>
      <c r="O184" s="121">
        <v>2977038.85</v>
      </c>
      <c r="P184" s="121">
        <v>2977038.85</v>
      </c>
      <c r="Q184" s="72"/>
      <c r="R184" s="72"/>
      <c r="S184" s="37"/>
      <c r="T184" s="37">
        <f>N184+O184+P184</f>
        <v>8931116.55</v>
      </c>
      <c r="U184" s="37">
        <f t="shared" si="13"/>
        <v>10002850.536000002</v>
      </c>
      <c r="V184" s="22"/>
      <c r="W184" s="22">
        <v>2013</v>
      </c>
      <c r="X184" s="22"/>
    </row>
    <row r="185" spans="1:24" s="84" customFormat="1" ht="51">
      <c r="A185" s="22" t="s">
        <v>775</v>
      </c>
      <c r="B185" s="22" t="s">
        <v>422</v>
      </c>
      <c r="C185" s="87" t="s">
        <v>839</v>
      </c>
      <c r="D185" s="22" t="s">
        <v>840</v>
      </c>
      <c r="E185" s="22" t="s">
        <v>840</v>
      </c>
      <c r="F185" s="215" t="s">
        <v>907</v>
      </c>
      <c r="G185" s="221" t="s">
        <v>242</v>
      </c>
      <c r="H185" s="22"/>
      <c r="I185" s="76" t="s">
        <v>908</v>
      </c>
      <c r="J185" s="21" t="s">
        <v>566</v>
      </c>
      <c r="K185" s="22"/>
      <c r="L185" s="21" t="s">
        <v>567</v>
      </c>
      <c r="M185" s="22"/>
      <c r="N185" s="121">
        <v>2532528.9</v>
      </c>
      <c r="O185" s="121">
        <v>2532528.9</v>
      </c>
      <c r="P185" s="121">
        <v>2532528.9</v>
      </c>
      <c r="Q185" s="72"/>
      <c r="R185" s="72"/>
      <c r="S185" s="37"/>
      <c r="T185" s="37">
        <f t="shared" si="14"/>
        <v>7597586.699999999</v>
      </c>
      <c r="U185" s="37">
        <f t="shared" si="13"/>
        <v>8509297.104</v>
      </c>
      <c r="V185" s="22"/>
      <c r="W185" s="22">
        <v>2013</v>
      </c>
      <c r="X185" s="22"/>
    </row>
    <row r="186" spans="1:24" s="84" customFormat="1" ht="51">
      <c r="A186" s="22" t="s">
        <v>776</v>
      </c>
      <c r="B186" s="22" t="s">
        <v>422</v>
      </c>
      <c r="C186" s="87" t="s">
        <v>839</v>
      </c>
      <c r="D186" s="22" t="s">
        <v>840</v>
      </c>
      <c r="E186" s="22" t="s">
        <v>840</v>
      </c>
      <c r="F186" s="215" t="s">
        <v>856</v>
      </c>
      <c r="G186" s="221" t="s">
        <v>242</v>
      </c>
      <c r="H186" s="22"/>
      <c r="I186" s="76" t="s">
        <v>908</v>
      </c>
      <c r="J186" s="21" t="s">
        <v>566</v>
      </c>
      <c r="K186" s="22"/>
      <c r="L186" s="21" t="s">
        <v>567</v>
      </c>
      <c r="M186" s="22"/>
      <c r="N186" s="121">
        <v>4685868</v>
      </c>
      <c r="O186" s="121">
        <v>4685868</v>
      </c>
      <c r="P186" s="121">
        <v>4685868</v>
      </c>
      <c r="Q186" s="72"/>
      <c r="R186" s="72"/>
      <c r="S186" s="37"/>
      <c r="T186" s="37">
        <f t="shared" si="14"/>
        <v>14057604</v>
      </c>
      <c r="U186" s="37">
        <f t="shared" si="13"/>
        <v>15744516.480000002</v>
      </c>
      <c r="V186" s="22"/>
      <c r="W186" s="22">
        <v>2013</v>
      </c>
      <c r="X186" s="22"/>
    </row>
    <row r="187" spans="1:24" s="132" customFormat="1" ht="38.25">
      <c r="A187" s="22" t="s">
        <v>777</v>
      </c>
      <c r="B187" s="22" t="s">
        <v>422</v>
      </c>
      <c r="C187" s="87"/>
      <c r="D187" s="22" t="s">
        <v>404</v>
      </c>
      <c r="E187" s="22" t="s">
        <v>404</v>
      </c>
      <c r="F187" s="22"/>
      <c r="G187" s="278" t="s">
        <v>257</v>
      </c>
      <c r="H187" s="22">
        <v>0</v>
      </c>
      <c r="I187" s="21" t="s">
        <v>184</v>
      </c>
      <c r="J187" s="65" t="s">
        <v>405</v>
      </c>
      <c r="K187" s="22"/>
      <c r="L187" s="134" t="s">
        <v>230</v>
      </c>
      <c r="M187" s="62"/>
      <c r="N187" s="19">
        <v>2057000</v>
      </c>
      <c r="O187" s="62"/>
      <c r="P187" s="62"/>
      <c r="Q187" s="62"/>
      <c r="R187" s="62"/>
      <c r="S187" s="62"/>
      <c r="T187" s="19">
        <v>2400000</v>
      </c>
      <c r="U187" s="37">
        <f t="shared" si="13"/>
        <v>2688000.0000000005</v>
      </c>
      <c r="V187" s="22"/>
      <c r="W187" s="20">
        <v>2012</v>
      </c>
      <c r="X187" s="22"/>
    </row>
    <row r="188" spans="1:24" s="132" customFormat="1" ht="25.5">
      <c r="A188" s="22" t="s">
        <v>778</v>
      </c>
      <c r="B188" s="22" t="s">
        <v>422</v>
      </c>
      <c r="C188" s="87"/>
      <c r="D188" s="21" t="s">
        <v>406</v>
      </c>
      <c r="E188" s="21" t="s">
        <v>564</v>
      </c>
      <c r="F188" s="22"/>
      <c r="G188" s="288" t="s">
        <v>257</v>
      </c>
      <c r="H188" s="22">
        <v>0</v>
      </c>
      <c r="I188" s="123" t="s">
        <v>190</v>
      </c>
      <c r="J188" s="133" t="s">
        <v>407</v>
      </c>
      <c r="K188" s="22"/>
      <c r="L188" s="134" t="s">
        <v>230</v>
      </c>
      <c r="M188" s="62"/>
      <c r="N188" s="62">
        <v>288516</v>
      </c>
      <c r="O188" s="62">
        <v>288516</v>
      </c>
      <c r="P188" s="62">
        <v>288516</v>
      </c>
      <c r="Q188" s="62"/>
      <c r="R188" s="62"/>
      <c r="S188" s="62"/>
      <c r="T188" s="37">
        <v>1009800</v>
      </c>
      <c r="U188" s="37">
        <f t="shared" si="13"/>
        <v>1130976</v>
      </c>
      <c r="V188" s="22"/>
      <c r="W188" s="20">
        <v>2012</v>
      </c>
      <c r="X188" s="22"/>
    </row>
    <row r="189" spans="1:24" s="131" customFormat="1" ht="38.25">
      <c r="A189" s="22" t="s">
        <v>779</v>
      </c>
      <c r="B189" s="22" t="s">
        <v>422</v>
      </c>
      <c r="C189" s="265" t="s">
        <v>539</v>
      </c>
      <c r="D189" s="154" t="s">
        <v>540</v>
      </c>
      <c r="E189" s="154" t="s">
        <v>540</v>
      </c>
      <c r="F189" s="154" t="s">
        <v>541</v>
      </c>
      <c r="G189" s="221" t="s">
        <v>257</v>
      </c>
      <c r="H189" s="22">
        <v>0</v>
      </c>
      <c r="I189" s="123" t="s">
        <v>542</v>
      </c>
      <c r="J189" s="68" t="s">
        <v>543</v>
      </c>
      <c r="K189" s="22"/>
      <c r="L189" s="134" t="s">
        <v>230</v>
      </c>
      <c r="M189" s="62"/>
      <c r="N189" s="62">
        <f>74579.15*12</f>
        <v>894949.7999999999</v>
      </c>
      <c r="O189" s="62">
        <f>74579.15*10</f>
        <v>745791.5</v>
      </c>
      <c r="P189" s="62"/>
      <c r="Q189" s="62"/>
      <c r="R189" s="62"/>
      <c r="S189" s="62"/>
      <c r="T189" s="33">
        <v>2461112.1</v>
      </c>
      <c r="U189" s="37">
        <f t="shared" si="13"/>
        <v>2756445.552</v>
      </c>
      <c r="V189" s="22"/>
      <c r="W189" s="20">
        <v>2012</v>
      </c>
      <c r="X189" s="22"/>
    </row>
    <row r="190" spans="1:24" s="132" customFormat="1" ht="38.25">
      <c r="A190" s="22" t="s">
        <v>780</v>
      </c>
      <c r="B190" s="22" t="s">
        <v>422</v>
      </c>
      <c r="C190" s="262" t="s">
        <v>841</v>
      </c>
      <c r="D190" s="162" t="s">
        <v>842</v>
      </c>
      <c r="E190" s="67" t="s">
        <v>843</v>
      </c>
      <c r="F190" s="123" t="s">
        <v>410</v>
      </c>
      <c r="G190" s="288" t="s">
        <v>242</v>
      </c>
      <c r="H190" s="22">
        <v>0</v>
      </c>
      <c r="I190" s="123" t="s">
        <v>191</v>
      </c>
      <c r="J190" s="133" t="s">
        <v>411</v>
      </c>
      <c r="K190" s="22"/>
      <c r="L190" s="66" t="s">
        <v>412</v>
      </c>
      <c r="M190" s="62"/>
      <c r="N190" s="62">
        <v>24948000</v>
      </c>
      <c r="O190" s="62">
        <v>24948000</v>
      </c>
      <c r="P190" s="62">
        <v>24948000</v>
      </c>
      <c r="Q190" s="62"/>
      <c r="R190" s="62"/>
      <c r="S190" s="62"/>
      <c r="T190" s="37">
        <v>83160000</v>
      </c>
      <c r="U190" s="37">
        <f t="shared" si="13"/>
        <v>93139200.00000001</v>
      </c>
      <c r="V190" s="22"/>
      <c r="W190" s="20">
        <v>2012</v>
      </c>
      <c r="X190" s="22"/>
    </row>
    <row r="191" spans="1:28" s="41" customFormat="1" ht="63.75">
      <c r="A191" s="22" t="s">
        <v>857</v>
      </c>
      <c r="B191" s="22" t="s">
        <v>422</v>
      </c>
      <c r="C191" s="87" t="s">
        <v>570</v>
      </c>
      <c r="D191" s="22" t="s">
        <v>571</v>
      </c>
      <c r="E191" s="22" t="s">
        <v>571</v>
      </c>
      <c r="F191" s="22" t="s">
        <v>572</v>
      </c>
      <c r="G191" s="221"/>
      <c r="H191" s="22"/>
      <c r="I191" s="76"/>
      <c r="J191" s="21"/>
      <c r="K191" s="22"/>
      <c r="L191" s="23"/>
      <c r="M191" s="87"/>
      <c r="N191" s="137"/>
      <c r="O191" s="367">
        <v>10155300939</v>
      </c>
      <c r="P191" s="367">
        <v>11614009406</v>
      </c>
      <c r="Q191" s="72">
        <v>12187098000</v>
      </c>
      <c r="R191" s="72">
        <v>12538746000</v>
      </c>
      <c r="S191" s="37"/>
      <c r="T191" s="37">
        <f>N191+O191+P191+Q191+R191</f>
        <v>46495154345</v>
      </c>
      <c r="U191" s="37">
        <f t="shared" si="13"/>
        <v>52074572866.4</v>
      </c>
      <c r="V191" s="22"/>
      <c r="W191" s="22">
        <v>2012</v>
      </c>
      <c r="X191" s="22" t="s">
        <v>41</v>
      </c>
      <c r="Y191" s="86"/>
      <c r="Z191" s="86"/>
      <c r="AA191" s="86"/>
      <c r="AB191" s="86"/>
    </row>
    <row r="192" spans="1:28" s="41" customFormat="1" ht="76.5">
      <c r="A192" s="22" t="s">
        <v>33</v>
      </c>
      <c r="B192" s="22" t="s">
        <v>422</v>
      </c>
      <c r="C192" s="87" t="s">
        <v>570</v>
      </c>
      <c r="D192" s="22" t="s">
        <v>571</v>
      </c>
      <c r="E192" s="22" t="s">
        <v>571</v>
      </c>
      <c r="F192" s="22" t="s">
        <v>36</v>
      </c>
      <c r="G192" s="221" t="s">
        <v>242</v>
      </c>
      <c r="H192" s="22">
        <v>0</v>
      </c>
      <c r="I192" s="76" t="s">
        <v>37</v>
      </c>
      <c r="J192" s="22" t="s">
        <v>233</v>
      </c>
      <c r="K192" s="22"/>
      <c r="L192" s="134" t="s">
        <v>230</v>
      </c>
      <c r="M192" s="87"/>
      <c r="N192" s="137">
        <v>4605248550</v>
      </c>
      <c r="O192" s="367">
        <v>5409126600</v>
      </c>
      <c r="P192" s="367">
        <v>5974640700</v>
      </c>
      <c r="Q192" s="72"/>
      <c r="R192" s="72"/>
      <c r="S192" s="37"/>
      <c r="T192" s="37">
        <f>N192+O192+P192+Q192+R192</f>
        <v>15989015850</v>
      </c>
      <c r="U192" s="37">
        <f t="shared" si="13"/>
        <v>17907697752</v>
      </c>
      <c r="V192" s="22"/>
      <c r="W192" s="22">
        <v>2012</v>
      </c>
      <c r="X192" s="82"/>
      <c r="Y192" s="86"/>
      <c r="Z192" s="86"/>
      <c r="AA192" s="86"/>
      <c r="AB192" s="86"/>
    </row>
    <row r="193" spans="1:28" s="41" customFormat="1" ht="38.25">
      <c r="A193" s="22" t="s">
        <v>34</v>
      </c>
      <c r="B193" s="22" t="s">
        <v>422</v>
      </c>
      <c r="C193" s="87" t="s">
        <v>570</v>
      </c>
      <c r="D193" s="22" t="s">
        <v>571</v>
      </c>
      <c r="E193" s="22" t="s">
        <v>571</v>
      </c>
      <c r="F193" s="22" t="s">
        <v>38</v>
      </c>
      <c r="G193" s="221" t="s">
        <v>242</v>
      </c>
      <c r="H193" s="22">
        <v>0</v>
      </c>
      <c r="I193" s="76" t="s">
        <v>885</v>
      </c>
      <c r="J193" s="21" t="s">
        <v>40</v>
      </c>
      <c r="K193" s="22"/>
      <c r="L193" s="134" t="s">
        <v>230</v>
      </c>
      <c r="M193" s="87"/>
      <c r="N193" s="137">
        <v>153246951</v>
      </c>
      <c r="O193" s="367">
        <v>359590968</v>
      </c>
      <c r="P193" s="367">
        <v>193084007</v>
      </c>
      <c r="Q193" s="72"/>
      <c r="R193" s="72"/>
      <c r="S193" s="37"/>
      <c r="T193" s="37">
        <f>N193+O193+P193+Q193+R193</f>
        <v>705921926</v>
      </c>
      <c r="U193" s="37">
        <f t="shared" si="13"/>
        <v>790632557.1200001</v>
      </c>
      <c r="V193" s="22"/>
      <c r="W193" s="22">
        <v>2013</v>
      </c>
      <c r="X193" s="82"/>
      <c r="Y193" s="86"/>
      <c r="Z193" s="86"/>
      <c r="AA193" s="86"/>
      <c r="AB193" s="86"/>
    </row>
    <row r="194" spans="1:28" s="41" customFormat="1" ht="38.25">
      <c r="A194" s="22" t="s">
        <v>35</v>
      </c>
      <c r="B194" s="22" t="s">
        <v>422</v>
      </c>
      <c r="C194" s="87" t="s">
        <v>570</v>
      </c>
      <c r="D194" s="22" t="s">
        <v>571</v>
      </c>
      <c r="E194" s="22" t="s">
        <v>571</v>
      </c>
      <c r="F194" s="22" t="s">
        <v>39</v>
      </c>
      <c r="G194" s="221" t="s">
        <v>242</v>
      </c>
      <c r="H194" s="22"/>
      <c r="I194" s="76" t="s">
        <v>885</v>
      </c>
      <c r="J194" s="21" t="s">
        <v>411</v>
      </c>
      <c r="K194" s="22"/>
      <c r="L194" s="134" t="s">
        <v>230</v>
      </c>
      <c r="M194" s="87"/>
      <c r="N194" s="137">
        <v>45431496</v>
      </c>
      <c r="O194" s="367">
        <v>95015795</v>
      </c>
      <c r="P194" s="367">
        <v>101196959</v>
      </c>
      <c r="Q194" s="72">
        <v>52543458</v>
      </c>
      <c r="R194" s="72"/>
      <c r="S194" s="37"/>
      <c r="T194" s="37">
        <f>N194+O194+P194+Q194+R194</f>
        <v>294187708</v>
      </c>
      <c r="U194" s="37">
        <f t="shared" si="13"/>
        <v>329490232.96000004</v>
      </c>
      <c r="V194" s="22"/>
      <c r="W194" s="22">
        <v>2012</v>
      </c>
      <c r="X194" s="82"/>
      <c r="Y194" s="86"/>
      <c r="Z194" s="86"/>
      <c r="AA194" s="86"/>
      <c r="AB194" s="86"/>
    </row>
    <row r="195" spans="1:28" s="41" customFormat="1" ht="51">
      <c r="A195" s="22" t="s">
        <v>858</v>
      </c>
      <c r="B195" s="22" t="s">
        <v>422</v>
      </c>
      <c r="C195" s="87" t="s">
        <v>573</v>
      </c>
      <c r="D195" s="22" t="s">
        <v>574</v>
      </c>
      <c r="E195" s="22" t="s">
        <v>574</v>
      </c>
      <c r="F195" s="22" t="s">
        <v>673</v>
      </c>
      <c r="G195" s="221" t="s">
        <v>242</v>
      </c>
      <c r="H195" s="22">
        <v>70</v>
      </c>
      <c r="I195" s="76" t="s">
        <v>474</v>
      </c>
      <c r="J195" s="21" t="s">
        <v>566</v>
      </c>
      <c r="K195" s="22"/>
      <c r="L195" s="23" t="s">
        <v>567</v>
      </c>
      <c r="M195" s="87"/>
      <c r="N195" s="36"/>
      <c r="O195" s="36"/>
      <c r="P195" s="36"/>
      <c r="Q195" s="36"/>
      <c r="R195" s="36"/>
      <c r="S195" s="37"/>
      <c r="T195" s="37">
        <v>0</v>
      </c>
      <c r="U195" s="37">
        <v>0</v>
      </c>
      <c r="V195" s="22"/>
      <c r="W195" s="22">
        <v>2012</v>
      </c>
      <c r="X195" s="22" t="s">
        <v>927</v>
      </c>
      <c r="Y195" s="86"/>
      <c r="Z195" s="86"/>
      <c r="AA195" s="86"/>
      <c r="AB195" s="86"/>
    </row>
    <row r="196" spans="1:28" s="41" customFormat="1" ht="51">
      <c r="A196" s="22" t="s">
        <v>926</v>
      </c>
      <c r="B196" s="22" t="s">
        <v>422</v>
      </c>
      <c r="C196" s="87" t="s">
        <v>573</v>
      </c>
      <c r="D196" s="22" t="s">
        <v>574</v>
      </c>
      <c r="E196" s="22" t="s">
        <v>574</v>
      </c>
      <c r="F196" s="22" t="s">
        <v>673</v>
      </c>
      <c r="G196" s="221" t="s">
        <v>242</v>
      </c>
      <c r="H196" s="22">
        <v>70</v>
      </c>
      <c r="I196" s="76" t="s">
        <v>474</v>
      </c>
      <c r="J196" s="21" t="s">
        <v>566</v>
      </c>
      <c r="K196" s="22"/>
      <c r="L196" s="23" t="s">
        <v>567</v>
      </c>
      <c r="M196" s="87"/>
      <c r="N196" s="36">
        <v>324270167.2</v>
      </c>
      <c r="O196" s="36">
        <v>602216024.8</v>
      </c>
      <c r="P196" s="36"/>
      <c r="Q196" s="36"/>
      <c r="R196" s="36"/>
      <c r="S196" s="37"/>
      <c r="T196" s="37">
        <f>N196+O196+P196+Q196+R196</f>
        <v>926486192</v>
      </c>
      <c r="U196" s="37">
        <f>T196*1.12</f>
        <v>1037664535.0400001</v>
      </c>
      <c r="V196" s="22"/>
      <c r="W196" s="22">
        <v>2012</v>
      </c>
      <c r="X196" s="22"/>
      <c r="Y196" s="86"/>
      <c r="Z196" s="86"/>
      <c r="AA196" s="86"/>
      <c r="AB196" s="86"/>
    </row>
    <row r="197" spans="1:28" s="41" customFormat="1" ht="63.75">
      <c r="A197" s="22" t="s">
        <v>143</v>
      </c>
      <c r="B197" s="22" t="s">
        <v>422</v>
      </c>
      <c r="C197" s="87" t="s">
        <v>573</v>
      </c>
      <c r="D197" s="22" t="s">
        <v>574</v>
      </c>
      <c r="E197" s="22" t="s">
        <v>574</v>
      </c>
      <c r="F197" s="15" t="s">
        <v>154</v>
      </c>
      <c r="G197" s="221" t="s">
        <v>242</v>
      </c>
      <c r="H197" s="22">
        <v>0</v>
      </c>
      <c r="I197" s="76">
        <v>41426</v>
      </c>
      <c r="J197" s="372" t="s">
        <v>165</v>
      </c>
      <c r="K197" s="22"/>
      <c r="L197" s="23" t="s">
        <v>567</v>
      </c>
      <c r="M197" s="87"/>
      <c r="N197" s="368">
        <v>1315000</v>
      </c>
      <c r="O197" s="368">
        <v>1315000</v>
      </c>
      <c r="P197" s="36"/>
      <c r="Q197" s="36"/>
      <c r="R197" s="36"/>
      <c r="S197" s="37"/>
      <c r="T197" s="178">
        <f>O197+N197</f>
        <v>2630000</v>
      </c>
      <c r="U197" s="37">
        <f aca="true" t="shared" si="15" ref="U197:U219">T197*1.12</f>
        <v>2945600.0000000005</v>
      </c>
      <c r="V197" s="22"/>
      <c r="W197" s="22">
        <v>2013</v>
      </c>
      <c r="X197" s="22"/>
      <c r="Y197" s="86"/>
      <c r="Z197" s="86"/>
      <c r="AA197" s="86"/>
      <c r="AB197" s="86"/>
    </row>
    <row r="198" spans="1:28" s="41" customFormat="1" ht="63.75">
      <c r="A198" s="22" t="s">
        <v>145</v>
      </c>
      <c r="B198" s="22" t="s">
        <v>422</v>
      </c>
      <c r="C198" s="87" t="s">
        <v>573</v>
      </c>
      <c r="D198" s="22" t="s">
        <v>574</v>
      </c>
      <c r="E198" s="22" t="s">
        <v>574</v>
      </c>
      <c r="F198" s="15" t="s">
        <v>155</v>
      </c>
      <c r="G198" s="221" t="s">
        <v>242</v>
      </c>
      <c r="H198" s="22">
        <v>0</v>
      </c>
      <c r="I198" s="76">
        <v>41426</v>
      </c>
      <c r="J198" s="372" t="s">
        <v>165</v>
      </c>
      <c r="K198" s="22"/>
      <c r="L198" s="23" t="s">
        <v>567</v>
      </c>
      <c r="M198" s="87"/>
      <c r="N198" s="368">
        <v>733000</v>
      </c>
      <c r="O198" s="368">
        <v>733000</v>
      </c>
      <c r="P198" s="36"/>
      <c r="Q198" s="36"/>
      <c r="R198" s="36"/>
      <c r="S198" s="37"/>
      <c r="T198" s="178">
        <f aca="true" t="shared" si="16" ref="T198:T207">O198+N198</f>
        <v>1466000</v>
      </c>
      <c r="U198" s="37">
        <f t="shared" si="15"/>
        <v>1641920.0000000002</v>
      </c>
      <c r="V198" s="22"/>
      <c r="W198" s="22">
        <v>2013</v>
      </c>
      <c r="X198" s="22"/>
      <c r="Y198" s="86"/>
      <c r="Z198" s="86"/>
      <c r="AA198" s="86"/>
      <c r="AB198" s="86"/>
    </row>
    <row r="199" spans="1:28" s="41" customFormat="1" ht="63.75">
      <c r="A199" s="22" t="s">
        <v>144</v>
      </c>
      <c r="B199" s="22" t="s">
        <v>422</v>
      </c>
      <c r="C199" s="87" t="s">
        <v>573</v>
      </c>
      <c r="D199" s="22" t="s">
        <v>574</v>
      </c>
      <c r="E199" s="22" t="s">
        <v>574</v>
      </c>
      <c r="F199" s="15" t="s">
        <v>156</v>
      </c>
      <c r="G199" s="221" t="s">
        <v>242</v>
      </c>
      <c r="H199" s="22">
        <v>0</v>
      </c>
      <c r="I199" s="76">
        <v>41426</v>
      </c>
      <c r="J199" s="372" t="s">
        <v>165</v>
      </c>
      <c r="K199" s="22"/>
      <c r="L199" s="23" t="s">
        <v>567</v>
      </c>
      <c r="M199" s="87"/>
      <c r="N199" s="368">
        <v>526050</v>
      </c>
      <c r="O199" s="368">
        <v>526050</v>
      </c>
      <c r="P199" s="36"/>
      <c r="Q199" s="36"/>
      <c r="R199" s="36"/>
      <c r="S199" s="37"/>
      <c r="T199" s="178">
        <f t="shared" si="16"/>
        <v>1052100</v>
      </c>
      <c r="U199" s="37">
        <f t="shared" si="15"/>
        <v>1178352</v>
      </c>
      <c r="V199" s="22"/>
      <c r="W199" s="22">
        <v>2013</v>
      </c>
      <c r="X199" s="22"/>
      <c r="Y199" s="86"/>
      <c r="Z199" s="86"/>
      <c r="AA199" s="86"/>
      <c r="AB199" s="86"/>
    </row>
    <row r="200" spans="1:28" s="41" customFormat="1" ht="63.75">
      <c r="A200" s="22" t="s">
        <v>146</v>
      </c>
      <c r="B200" s="22" t="s">
        <v>422</v>
      </c>
      <c r="C200" s="87" t="s">
        <v>573</v>
      </c>
      <c r="D200" s="22" t="s">
        <v>574</v>
      </c>
      <c r="E200" s="22" t="s">
        <v>574</v>
      </c>
      <c r="F200" s="15" t="s">
        <v>157</v>
      </c>
      <c r="G200" s="221" t="s">
        <v>242</v>
      </c>
      <c r="H200" s="22">
        <v>0</v>
      </c>
      <c r="I200" s="76">
        <v>41426</v>
      </c>
      <c r="J200" s="372" t="s">
        <v>165</v>
      </c>
      <c r="K200" s="22"/>
      <c r="L200" s="23" t="s">
        <v>567</v>
      </c>
      <c r="M200" s="87"/>
      <c r="N200" s="368">
        <v>272450</v>
      </c>
      <c r="O200" s="368">
        <v>272450</v>
      </c>
      <c r="P200" s="36"/>
      <c r="Q200" s="36"/>
      <c r="R200" s="36"/>
      <c r="S200" s="37"/>
      <c r="T200" s="178">
        <f t="shared" si="16"/>
        <v>544900</v>
      </c>
      <c r="U200" s="37">
        <f t="shared" si="15"/>
        <v>610288</v>
      </c>
      <c r="V200" s="22"/>
      <c r="W200" s="22">
        <v>2013</v>
      </c>
      <c r="X200" s="22"/>
      <c r="Y200" s="86"/>
      <c r="Z200" s="86"/>
      <c r="AA200" s="86"/>
      <c r="AB200" s="86"/>
    </row>
    <row r="201" spans="1:28" s="41" customFormat="1" ht="63.75">
      <c r="A201" s="22" t="s">
        <v>147</v>
      </c>
      <c r="B201" s="22" t="s">
        <v>422</v>
      </c>
      <c r="C201" s="87" t="s">
        <v>573</v>
      </c>
      <c r="D201" s="22" t="s">
        <v>574</v>
      </c>
      <c r="E201" s="22" t="s">
        <v>574</v>
      </c>
      <c r="F201" s="15" t="s">
        <v>158</v>
      </c>
      <c r="G201" s="221" t="s">
        <v>242</v>
      </c>
      <c r="H201" s="22">
        <v>0</v>
      </c>
      <c r="I201" s="76">
        <v>41426</v>
      </c>
      <c r="J201" s="372" t="s">
        <v>165</v>
      </c>
      <c r="K201" s="22"/>
      <c r="L201" s="23" t="s">
        <v>567</v>
      </c>
      <c r="M201" s="87"/>
      <c r="N201" s="368">
        <v>751500</v>
      </c>
      <c r="O201" s="368">
        <v>751500</v>
      </c>
      <c r="P201" s="36"/>
      <c r="Q201" s="36"/>
      <c r="R201" s="36"/>
      <c r="S201" s="37"/>
      <c r="T201" s="178">
        <f t="shared" si="16"/>
        <v>1503000</v>
      </c>
      <c r="U201" s="37">
        <f t="shared" si="15"/>
        <v>1683360.0000000002</v>
      </c>
      <c r="V201" s="22"/>
      <c r="W201" s="22">
        <v>2013</v>
      </c>
      <c r="X201" s="22"/>
      <c r="Y201" s="86"/>
      <c r="Z201" s="86"/>
      <c r="AA201" s="86"/>
      <c r="AB201" s="86"/>
    </row>
    <row r="202" spans="1:28" s="41" customFormat="1" ht="63.75">
      <c r="A202" s="22" t="s">
        <v>148</v>
      </c>
      <c r="B202" s="22" t="s">
        <v>422</v>
      </c>
      <c r="C202" s="87" t="s">
        <v>573</v>
      </c>
      <c r="D202" s="22" t="s">
        <v>574</v>
      </c>
      <c r="E202" s="22" t="s">
        <v>574</v>
      </c>
      <c r="F202" s="15" t="s">
        <v>159</v>
      </c>
      <c r="G202" s="221" t="s">
        <v>242</v>
      </c>
      <c r="H202" s="22">
        <v>0</v>
      </c>
      <c r="I202" s="76">
        <v>41426</v>
      </c>
      <c r="J202" s="372" t="s">
        <v>165</v>
      </c>
      <c r="K202" s="22"/>
      <c r="L202" s="23" t="s">
        <v>567</v>
      </c>
      <c r="M202" s="87"/>
      <c r="N202" s="368">
        <v>373750</v>
      </c>
      <c r="O202" s="368">
        <v>373750</v>
      </c>
      <c r="P202" s="36"/>
      <c r="Q202" s="36"/>
      <c r="R202" s="36"/>
      <c r="S202" s="37"/>
      <c r="T202" s="178">
        <f t="shared" si="16"/>
        <v>747500</v>
      </c>
      <c r="U202" s="37">
        <f t="shared" si="15"/>
        <v>837200.0000000001</v>
      </c>
      <c r="V202" s="22"/>
      <c r="W202" s="22">
        <v>2013</v>
      </c>
      <c r="X202" s="22"/>
      <c r="Y202" s="86"/>
      <c r="Z202" s="86"/>
      <c r="AA202" s="86"/>
      <c r="AB202" s="86"/>
    </row>
    <row r="203" spans="1:28" s="41" customFormat="1" ht="63.75">
      <c r="A203" s="22" t="s">
        <v>149</v>
      </c>
      <c r="B203" s="22" t="s">
        <v>422</v>
      </c>
      <c r="C203" s="87" t="s">
        <v>573</v>
      </c>
      <c r="D203" s="22" t="s">
        <v>574</v>
      </c>
      <c r="E203" s="22" t="s">
        <v>574</v>
      </c>
      <c r="F203" s="15" t="s">
        <v>160</v>
      </c>
      <c r="G203" s="221" t="s">
        <v>242</v>
      </c>
      <c r="H203" s="22">
        <v>0</v>
      </c>
      <c r="I203" s="76">
        <v>41426</v>
      </c>
      <c r="J203" s="372" t="s">
        <v>165</v>
      </c>
      <c r="K203" s="22"/>
      <c r="L203" s="23" t="s">
        <v>567</v>
      </c>
      <c r="M203" s="87"/>
      <c r="N203" s="368">
        <v>488500</v>
      </c>
      <c r="O203" s="368">
        <v>488500</v>
      </c>
      <c r="P203" s="36"/>
      <c r="Q203" s="36"/>
      <c r="R203" s="36"/>
      <c r="S203" s="37"/>
      <c r="T203" s="178">
        <f t="shared" si="16"/>
        <v>977000</v>
      </c>
      <c r="U203" s="37">
        <f t="shared" si="15"/>
        <v>1094240</v>
      </c>
      <c r="V203" s="22"/>
      <c r="W203" s="22">
        <v>2013</v>
      </c>
      <c r="X203" s="22"/>
      <c r="Y203" s="86"/>
      <c r="Z203" s="86"/>
      <c r="AA203" s="86"/>
      <c r="AB203" s="86"/>
    </row>
    <row r="204" spans="1:28" s="41" customFormat="1" ht="63.75">
      <c r="A204" s="22" t="s">
        <v>150</v>
      </c>
      <c r="B204" s="22" t="s">
        <v>422</v>
      </c>
      <c r="C204" s="87" t="s">
        <v>573</v>
      </c>
      <c r="D204" s="22" t="s">
        <v>574</v>
      </c>
      <c r="E204" s="22" t="s">
        <v>574</v>
      </c>
      <c r="F204" s="15" t="s">
        <v>161</v>
      </c>
      <c r="G204" s="221" t="s">
        <v>242</v>
      </c>
      <c r="H204" s="22">
        <v>0</v>
      </c>
      <c r="I204" s="76">
        <v>41426</v>
      </c>
      <c r="J204" s="372" t="s">
        <v>165</v>
      </c>
      <c r="K204" s="22"/>
      <c r="L204" s="23" t="s">
        <v>567</v>
      </c>
      <c r="M204" s="87"/>
      <c r="N204" s="368">
        <v>300625</v>
      </c>
      <c r="O204" s="368">
        <v>300625</v>
      </c>
      <c r="P204" s="36"/>
      <c r="Q204" s="36"/>
      <c r="R204" s="36"/>
      <c r="S204" s="37"/>
      <c r="T204" s="178">
        <f t="shared" si="16"/>
        <v>601250</v>
      </c>
      <c r="U204" s="37">
        <f t="shared" si="15"/>
        <v>673400.0000000001</v>
      </c>
      <c r="V204" s="22"/>
      <c r="W204" s="22">
        <v>2013</v>
      </c>
      <c r="X204" s="22"/>
      <c r="Y204" s="86"/>
      <c r="Z204" s="86"/>
      <c r="AA204" s="86"/>
      <c r="AB204" s="86"/>
    </row>
    <row r="205" spans="1:28" s="41" customFormat="1" ht="63.75">
      <c r="A205" s="22" t="s">
        <v>151</v>
      </c>
      <c r="B205" s="22" t="s">
        <v>422</v>
      </c>
      <c r="C205" s="87" t="s">
        <v>573</v>
      </c>
      <c r="D205" s="22" t="s">
        <v>574</v>
      </c>
      <c r="E205" s="22" t="s">
        <v>574</v>
      </c>
      <c r="F205" s="15" t="s">
        <v>162</v>
      </c>
      <c r="G205" s="221" t="s">
        <v>242</v>
      </c>
      <c r="H205" s="22">
        <v>0</v>
      </c>
      <c r="I205" s="76">
        <v>41426</v>
      </c>
      <c r="J205" s="372" t="s">
        <v>165</v>
      </c>
      <c r="K205" s="22"/>
      <c r="L205" s="23" t="s">
        <v>567</v>
      </c>
      <c r="M205" s="87"/>
      <c r="N205" s="368">
        <v>388750</v>
      </c>
      <c r="O205" s="368">
        <v>388750</v>
      </c>
      <c r="P205" s="36"/>
      <c r="Q205" s="36"/>
      <c r="R205" s="36"/>
      <c r="S205" s="37"/>
      <c r="T205" s="178">
        <f t="shared" si="16"/>
        <v>777500</v>
      </c>
      <c r="U205" s="37">
        <f t="shared" si="15"/>
        <v>870800.0000000001</v>
      </c>
      <c r="V205" s="22"/>
      <c r="W205" s="22">
        <v>2013</v>
      </c>
      <c r="X205" s="22"/>
      <c r="Y205" s="86"/>
      <c r="Z205" s="86"/>
      <c r="AA205" s="86"/>
      <c r="AB205" s="86"/>
    </row>
    <row r="206" spans="1:28" s="41" customFormat="1" ht="63.75">
      <c r="A206" s="22" t="s">
        <v>152</v>
      </c>
      <c r="B206" s="22" t="s">
        <v>422</v>
      </c>
      <c r="C206" s="87" t="s">
        <v>573</v>
      </c>
      <c r="D206" s="22" t="s">
        <v>574</v>
      </c>
      <c r="E206" s="22" t="s">
        <v>574</v>
      </c>
      <c r="F206" s="15" t="s">
        <v>163</v>
      </c>
      <c r="G206" s="221" t="s">
        <v>242</v>
      </c>
      <c r="H206" s="22">
        <v>0</v>
      </c>
      <c r="I206" s="76">
        <v>41426</v>
      </c>
      <c r="J206" s="373" t="s">
        <v>166</v>
      </c>
      <c r="K206" s="22"/>
      <c r="L206" s="23" t="s">
        <v>567</v>
      </c>
      <c r="M206" s="87"/>
      <c r="N206" s="368">
        <v>3228750</v>
      </c>
      <c r="O206" s="368">
        <v>3228750</v>
      </c>
      <c r="P206" s="36"/>
      <c r="Q206" s="36"/>
      <c r="R206" s="36"/>
      <c r="S206" s="37"/>
      <c r="T206" s="178">
        <f t="shared" si="16"/>
        <v>6457500</v>
      </c>
      <c r="U206" s="37">
        <f t="shared" si="15"/>
        <v>7232400.000000001</v>
      </c>
      <c r="V206" s="22"/>
      <c r="W206" s="22">
        <v>2013</v>
      </c>
      <c r="X206" s="22"/>
      <c r="Y206" s="86"/>
      <c r="Z206" s="86"/>
      <c r="AA206" s="86"/>
      <c r="AB206" s="86"/>
    </row>
    <row r="207" spans="1:28" s="41" customFormat="1" ht="63.75">
      <c r="A207" s="22" t="s">
        <v>153</v>
      </c>
      <c r="B207" s="22" t="s">
        <v>422</v>
      </c>
      <c r="C207" s="203" t="s">
        <v>573</v>
      </c>
      <c r="D207" s="42" t="s">
        <v>574</v>
      </c>
      <c r="E207" s="42" t="s">
        <v>574</v>
      </c>
      <c r="F207" s="139" t="s">
        <v>164</v>
      </c>
      <c r="G207" s="221" t="s">
        <v>242</v>
      </c>
      <c r="H207" s="22">
        <v>0</v>
      </c>
      <c r="I207" s="200">
        <v>41426</v>
      </c>
      <c r="J207" s="379" t="s">
        <v>166</v>
      </c>
      <c r="K207" s="42"/>
      <c r="L207" s="163" t="s">
        <v>567</v>
      </c>
      <c r="M207" s="203"/>
      <c r="N207" s="380">
        <v>2152500</v>
      </c>
      <c r="O207" s="380">
        <v>2152500</v>
      </c>
      <c r="P207" s="381"/>
      <c r="Q207" s="36"/>
      <c r="R207" s="36"/>
      <c r="S207" s="37"/>
      <c r="T207" s="380">
        <f t="shared" si="16"/>
        <v>4305000</v>
      </c>
      <c r="U207" s="37">
        <f t="shared" si="15"/>
        <v>4821600</v>
      </c>
      <c r="V207" s="22"/>
      <c r="W207" s="22">
        <v>2013</v>
      </c>
      <c r="X207" s="22"/>
      <c r="Y207" s="86"/>
      <c r="Z207" s="86"/>
      <c r="AA207" s="86"/>
      <c r="AB207" s="86"/>
    </row>
    <row r="208" spans="1:28" s="41" customFormat="1" ht="76.5">
      <c r="A208" s="22" t="s">
        <v>50</v>
      </c>
      <c r="B208" s="22" t="s">
        <v>422</v>
      </c>
      <c r="C208" s="217" t="s">
        <v>573</v>
      </c>
      <c r="D208" s="15" t="s">
        <v>574</v>
      </c>
      <c r="E208" s="15" t="s">
        <v>574</v>
      </c>
      <c r="F208" s="15" t="s">
        <v>105</v>
      </c>
      <c r="G208" s="221" t="s">
        <v>242</v>
      </c>
      <c r="H208" s="87">
        <v>100</v>
      </c>
      <c r="I208" s="65" t="s">
        <v>117</v>
      </c>
      <c r="J208" s="65" t="s">
        <v>407</v>
      </c>
      <c r="K208" s="22"/>
      <c r="L208" s="15" t="s">
        <v>119</v>
      </c>
      <c r="M208" s="22"/>
      <c r="N208" s="368">
        <v>3588000</v>
      </c>
      <c r="O208" s="368">
        <v>3588000</v>
      </c>
      <c r="P208" s="36"/>
      <c r="Q208" s="36"/>
      <c r="R208" s="36"/>
      <c r="S208" s="382"/>
      <c r="T208" s="178">
        <v>7176000</v>
      </c>
      <c r="U208" s="37">
        <f t="shared" si="15"/>
        <v>8037120.000000001</v>
      </c>
      <c r="V208" s="22"/>
      <c r="W208" s="22">
        <v>2013</v>
      </c>
      <c r="X208" s="22"/>
      <c r="Y208" s="86"/>
      <c r="Z208" s="86"/>
      <c r="AA208" s="86"/>
      <c r="AB208" s="86"/>
    </row>
    <row r="209" spans="1:28" s="41" customFormat="1" ht="89.25">
      <c r="A209" s="22" t="s">
        <v>51</v>
      </c>
      <c r="B209" s="22" t="s">
        <v>422</v>
      </c>
      <c r="C209" s="217" t="s">
        <v>573</v>
      </c>
      <c r="D209" s="15" t="s">
        <v>574</v>
      </c>
      <c r="E209" s="15" t="s">
        <v>574</v>
      </c>
      <c r="F209" s="15" t="s">
        <v>106</v>
      </c>
      <c r="G209" s="221" t="s">
        <v>242</v>
      </c>
      <c r="H209" s="87">
        <v>100</v>
      </c>
      <c r="I209" s="65" t="s">
        <v>117</v>
      </c>
      <c r="J209" s="65" t="s">
        <v>407</v>
      </c>
      <c r="K209" s="22"/>
      <c r="L209" s="15" t="s">
        <v>119</v>
      </c>
      <c r="M209" s="22"/>
      <c r="N209" s="368">
        <v>1131000</v>
      </c>
      <c r="O209" s="368">
        <v>1131000</v>
      </c>
      <c r="P209" s="36"/>
      <c r="Q209" s="36"/>
      <c r="R209" s="36"/>
      <c r="S209" s="382"/>
      <c r="T209" s="178">
        <v>2262000</v>
      </c>
      <c r="U209" s="37">
        <f t="shared" si="15"/>
        <v>2533440.0000000005</v>
      </c>
      <c r="V209" s="22"/>
      <c r="W209" s="22">
        <v>2013</v>
      </c>
      <c r="X209" s="22"/>
      <c r="Y209" s="86"/>
      <c r="Z209" s="86"/>
      <c r="AA209" s="86"/>
      <c r="AB209" s="86"/>
    </row>
    <row r="210" spans="1:28" s="41" customFormat="1" ht="76.5">
      <c r="A210" s="22" t="s">
        <v>52</v>
      </c>
      <c r="B210" s="22" t="s">
        <v>422</v>
      </c>
      <c r="C210" s="217" t="s">
        <v>573</v>
      </c>
      <c r="D210" s="15" t="s">
        <v>574</v>
      </c>
      <c r="E210" s="15" t="s">
        <v>574</v>
      </c>
      <c r="F210" s="15" t="s">
        <v>107</v>
      </c>
      <c r="G210" s="221" t="s">
        <v>242</v>
      </c>
      <c r="H210" s="87">
        <v>100</v>
      </c>
      <c r="I210" s="65" t="s">
        <v>117</v>
      </c>
      <c r="J210" s="65" t="s">
        <v>407</v>
      </c>
      <c r="K210" s="22"/>
      <c r="L210" s="15" t="s">
        <v>119</v>
      </c>
      <c r="M210" s="22"/>
      <c r="N210" s="368">
        <v>1956240</v>
      </c>
      <c r="O210" s="368">
        <v>1956240</v>
      </c>
      <c r="P210" s="36"/>
      <c r="Q210" s="36"/>
      <c r="R210" s="36"/>
      <c r="S210" s="382"/>
      <c r="T210" s="178">
        <v>3912480</v>
      </c>
      <c r="U210" s="37">
        <f t="shared" si="15"/>
        <v>4381977.600000001</v>
      </c>
      <c r="V210" s="22"/>
      <c r="W210" s="22">
        <v>2013</v>
      </c>
      <c r="X210" s="22"/>
      <c r="Y210" s="86"/>
      <c r="Z210" s="86"/>
      <c r="AA210" s="86"/>
      <c r="AB210" s="86"/>
    </row>
    <row r="211" spans="1:28" s="41" customFormat="1" ht="89.25">
      <c r="A211" s="22" t="s">
        <v>53</v>
      </c>
      <c r="B211" s="22" t="s">
        <v>422</v>
      </c>
      <c r="C211" s="217" t="s">
        <v>573</v>
      </c>
      <c r="D211" s="15" t="s">
        <v>574</v>
      </c>
      <c r="E211" s="15" t="s">
        <v>574</v>
      </c>
      <c r="F211" s="15" t="s">
        <v>108</v>
      </c>
      <c r="G211" s="221" t="s">
        <v>242</v>
      </c>
      <c r="H211" s="87">
        <v>100</v>
      </c>
      <c r="I211" s="65" t="s">
        <v>117</v>
      </c>
      <c r="J211" s="65" t="s">
        <v>407</v>
      </c>
      <c r="K211" s="22"/>
      <c r="L211" s="15" t="s">
        <v>119</v>
      </c>
      <c r="M211" s="22"/>
      <c r="N211" s="368">
        <v>737500</v>
      </c>
      <c r="O211" s="368">
        <v>737500</v>
      </c>
      <c r="P211" s="36"/>
      <c r="Q211" s="36"/>
      <c r="R211" s="36"/>
      <c r="S211" s="382"/>
      <c r="T211" s="178">
        <v>1475000</v>
      </c>
      <c r="U211" s="37">
        <f t="shared" si="15"/>
        <v>1652000.0000000002</v>
      </c>
      <c r="V211" s="22"/>
      <c r="W211" s="22">
        <v>2013</v>
      </c>
      <c r="X211" s="22"/>
      <c r="Y211" s="86"/>
      <c r="Z211" s="86"/>
      <c r="AA211" s="86"/>
      <c r="AB211" s="86"/>
    </row>
    <row r="212" spans="1:28" s="41" customFormat="1" ht="76.5">
      <c r="A212" s="22" t="s">
        <v>54</v>
      </c>
      <c r="B212" s="22" t="s">
        <v>422</v>
      </c>
      <c r="C212" s="217" t="s">
        <v>573</v>
      </c>
      <c r="D212" s="15" t="s">
        <v>574</v>
      </c>
      <c r="E212" s="15" t="s">
        <v>574</v>
      </c>
      <c r="F212" s="15" t="s">
        <v>109</v>
      </c>
      <c r="G212" s="221" t="s">
        <v>242</v>
      </c>
      <c r="H212" s="87">
        <v>100</v>
      </c>
      <c r="I212" s="65" t="s">
        <v>117</v>
      </c>
      <c r="J212" s="65" t="s">
        <v>407</v>
      </c>
      <c r="K212" s="22"/>
      <c r="L212" s="15" t="s">
        <v>119</v>
      </c>
      <c r="M212" s="22"/>
      <c r="N212" s="368">
        <v>1521000</v>
      </c>
      <c r="O212" s="368">
        <v>1521000</v>
      </c>
      <c r="P212" s="36"/>
      <c r="Q212" s="36"/>
      <c r="R212" s="36"/>
      <c r="S212" s="382"/>
      <c r="T212" s="178">
        <v>3042000</v>
      </c>
      <c r="U212" s="37">
        <f t="shared" si="15"/>
        <v>3407040.0000000005</v>
      </c>
      <c r="V212" s="22"/>
      <c r="W212" s="22">
        <v>2013</v>
      </c>
      <c r="X212" s="22"/>
      <c r="Y212" s="86"/>
      <c r="Z212" s="86"/>
      <c r="AA212" s="86"/>
      <c r="AB212" s="86"/>
    </row>
    <row r="213" spans="1:28" s="41" customFormat="1" ht="76.5">
      <c r="A213" s="22" t="s">
        <v>55</v>
      </c>
      <c r="B213" s="22" t="s">
        <v>422</v>
      </c>
      <c r="C213" s="217" t="s">
        <v>573</v>
      </c>
      <c r="D213" s="15" t="s">
        <v>574</v>
      </c>
      <c r="E213" s="15" t="s">
        <v>574</v>
      </c>
      <c r="F213" s="15" t="s">
        <v>110</v>
      </c>
      <c r="G213" s="221" t="s">
        <v>242</v>
      </c>
      <c r="H213" s="87">
        <v>100</v>
      </c>
      <c r="I213" s="65" t="s">
        <v>117</v>
      </c>
      <c r="J213" s="65" t="s">
        <v>407</v>
      </c>
      <c r="K213" s="22"/>
      <c r="L213" s="15" t="s">
        <v>119</v>
      </c>
      <c r="M213" s="22"/>
      <c r="N213" s="368">
        <v>472000</v>
      </c>
      <c r="O213" s="368">
        <v>472000</v>
      </c>
      <c r="P213" s="36"/>
      <c r="Q213" s="36"/>
      <c r="R213" s="36"/>
      <c r="S213" s="382"/>
      <c r="T213" s="178">
        <v>944000</v>
      </c>
      <c r="U213" s="37">
        <f t="shared" si="15"/>
        <v>1057280</v>
      </c>
      <c r="V213" s="22"/>
      <c r="W213" s="22">
        <v>2013</v>
      </c>
      <c r="X213" s="22"/>
      <c r="Y213" s="86"/>
      <c r="Z213" s="86"/>
      <c r="AA213" s="86"/>
      <c r="AB213" s="86"/>
    </row>
    <row r="214" spans="1:28" s="41" customFormat="1" ht="76.5">
      <c r="A214" s="22" t="s">
        <v>56</v>
      </c>
      <c r="B214" s="22" t="s">
        <v>422</v>
      </c>
      <c r="C214" s="217" t="s">
        <v>573</v>
      </c>
      <c r="D214" s="15" t="s">
        <v>574</v>
      </c>
      <c r="E214" s="15" t="s">
        <v>574</v>
      </c>
      <c r="F214" s="15" t="s">
        <v>111</v>
      </c>
      <c r="G214" s="221" t="s">
        <v>242</v>
      </c>
      <c r="H214" s="87">
        <v>100</v>
      </c>
      <c r="I214" s="65" t="s">
        <v>117</v>
      </c>
      <c r="J214" s="65" t="s">
        <v>118</v>
      </c>
      <c r="K214" s="22"/>
      <c r="L214" s="15" t="s">
        <v>119</v>
      </c>
      <c r="M214" s="22"/>
      <c r="N214" s="368">
        <v>2415000</v>
      </c>
      <c r="O214" s="368">
        <v>2415000</v>
      </c>
      <c r="P214" s="36"/>
      <c r="Q214" s="36"/>
      <c r="R214" s="36"/>
      <c r="S214" s="382"/>
      <c r="T214" s="178">
        <v>4830000</v>
      </c>
      <c r="U214" s="37">
        <f t="shared" si="15"/>
        <v>5409600.000000001</v>
      </c>
      <c r="V214" s="22"/>
      <c r="W214" s="22">
        <v>2013</v>
      </c>
      <c r="X214" s="22"/>
      <c r="Y214" s="86"/>
      <c r="Z214" s="86"/>
      <c r="AA214" s="86"/>
      <c r="AB214" s="86"/>
    </row>
    <row r="215" spans="1:28" s="41" customFormat="1" ht="89.25">
      <c r="A215" s="22" t="s">
        <v>57</v>
      </c>
      <c r="B215" s="22" t="s">
        <v>422</v>
      </c>
      <c r="C215" s="217" t="s">
        <v>573</v>
      </c>
      <c r="D215" s="15" t="s">
        <v>574</v>
      </c>
      <c r="E215" s="15" t="s">
        <v>574</v>
      </c>
      <c r="F215" s="15" t="s">
        <v>112</v>
      </c>
      <c r="G215" s="221" t="s">
        <v>242</v>
      </c>
      <c r="H215" s="87">
        <v>100</v>
      </c>
      <c r="I215" s="65" t="s">
        <v>117</v>
      </c>
      <c r="J215" s="65" t="s">
        <v>118</v>
      </c>
      <c r="K215" s="22"/>
      <c r="L215" s="15" t="s">
        <v>119</v>
      </c>
      <c r="M215" s="22"/>
      <c r="N215" s="368">
        <v>768500</v>
      </c>
      <c r="O215" s="368">
        <v>768500</v>
      </c>
      <c r="P215" s="36"/>
      <c r="Q215" s="36"/>
      <c r="R215" s="36"/>
      <c r="S215" s="382"/>
      <c r="T215" s="178">
        <v>1537000</v>
      </c>
      <c r="U215" s="37">
        <f t="shared" si="15"/>
        <v>1721440.0000000002</v>
      </c>
      <c r="V215" s="22"/>
      <c r="W215" s="22">
        <v>2013</v>
      </c>
      <c r="X215" s="22"/>
      <c r="Y215" s="86"/>
      <c r="Z215" s="86"/>
      <c r="AA215" s="86"/>
      <c r="AB215" s="86"/>
    </row>
    <row r="216" spans="1:28" s="41" customFormat="1" ht="76.5">
      <c r="A216" s="22" t="s">
        <v>58</v>
      </c>
      <c r="B216" s="22" t="s">
        <v>422</v>
      </c>
      <c r="C216" s="217" t="s">
        <v>573</v>
      </c>
      <c r="D216" s="15" t="s">
        <v>574</v>
      </c>
      <c r="E216" s="15" t="s">
        <v>574</v>
      </c>
      <c r="F216" s="15" t="s">
        <v>113</v>
      </c>
      <c r="G216" s="221" t="s">
        <v>242</v>
      </c>
      <c r="H216" s="87">
        <v>100</v>
      </c>
      <c r="I216" s="65" t="s">
        <v>117</v>
      </c>
      <c r="J216" s="65" t="s">
        <v>118</v>
      </c>
      <c r="K216" s="22"/>
      <c r="L216" s="15" t="s">
        <v>119</v>
      </c>
      <c r="M216" s="22"/>
      <c r="N216" s="368">
        <v>1061720</v>
      </c>
      <c r="O216" s="368">
        <v>1061720</v>
      </c>
      <c r="P216" s="36"/>
      <c r="Q216" s="36"/>
      <c r="R216" s="36"/>
      <c r="S216" s="382"/>
      <c r="T216" s="178">
        <v>2123440</v>
      </c>
      <c r="U216" s="37">
        <f t="shared" si="15"/>
        <v>2378252.8000000003</v>
      </c>
      <c r="V216" s="22"/>
      <c r="W216" s="22">
        <v>2013</v>
      </c>
      <c r="X216" s="22"/>
      <c r="Y216" s="86"/>
      <c r="Z216" s="86"/>
      <c r="AA216" s="86"/>
      <c r="AB216" s="86"/>
    </row>
    <row r="217" spans="1:28" s="41" customFormat="1" ht="89.25">
      <c r="A217" s="22" t="s">
        <v>59</v>
      </c>
      <c r="B217" s="22" t="s">
        <v>422</v>
      </c>
      <c r="C217" s="217" t="s">
        <v>573</v>
      </c>
      <c r="D217" s="15" t="s">
        <v>574</v>
      </c>
      <c r="E217" s="15" t="s">
        <v>574</v>
      </c>
      <c r="F217" s="15" t="s">
        <v>114</v>
      </c>
      <c r="G217" s="221" t="s">
        <v>242</v>
      </c>
      <c r="H217" s="87">
        <v>100</v>
      </c>
      <c r="I217" s="65" t="s">
        <v>117</v>
      </c>
      <c r="J217" s="65" t="s">
        <v>118</v>
      </c>
      <c r="K217" s="22"/>
      <c r="L217" s="15" t="s">
        <v>119</v>
      </c>
      <c r="M217" s="22"/>
      <c r="N217" s="368">
        <v>400000</v>
      </c>
      <c r="O217" s="368">
        <v>400000</v>
      </c>
      <c r="P217" s="36"/>
      <c r="Q217" s="36"/>
      <c r="R217" s="36"/>
      <c r="S217" s="382"/>
      <c r="T217" s="178">
        <v>800000</v>
      </c>
      <c r="U217" s="37">
        <f t="shared" si="15"/>
        <v>896000.0000000001</v>
      </c>
      <c r="V217" s="22"/>
      <c r="W217" s="22">
        <v>2013</v>
      </c>
      <c r="X217" s="22"/>
      <c r="Y217" s="86"/>
      <c r="Z217" s="86"/>
      <c r="AA217" s="86"/>
      <c r="AB217" s="86"/>
    </row>
    <row r="218" spans="1:28" s="41" customFormat="1" ht="76.5">
      <c r="A218" s="22" t="s">
        <v>60</v>
      </c>
      <c r="B218" s="22" t="s">
        <v>422</v>
      </c>
      <c r="C218" s="217" t="s">
        <v>573</v>
      </c>
      <c r="D218" s="15" t="s">
        <v>574</v>
      </c>
      <c r="E218" s="15" t="s">
        <v>574</v>
      </c>
      <c r="F218" s="15" t="s">
        <v>115</v>
      </c>
      <c r="G218" s="221" t="s">
        <v>242</v>
      </c>
      <c r="H218" s="87">
        <v>100</v>
      </c>
      <c r="I218" s="65" t="s">
        <v>117</v>
      </c>
      <c r="J218" s="65" t="s">
        <v>118</v>
      </c>
      <c r="K218" s="22"/>
      <c r="L218" s="15" t="s">
        <v>119</v>
      </c>
      <c r="M218" s="22"/>
      <c r="N218" s="368">
        <v>546000</v>
      </c>
      <c r="O218" s="368">
        <v>546000</v>
      </c>
      <c r="P218" s="36"/>
      <c r="Q218" s="36"/>
      <c r="R218" s="36"/>
      <c r="S218" s="382"/>
      <c r="T218" s="178">
        <v>1092000</v>
      </c>
      <c r="U218" s="37">
        <f t="shared" si="15"/>
        <v>1223040</v>
      </c>
      <c r="V218" s="22"/>
      <c r="W218" s="22">
        <v>2013</v>
      </c>
      <c r="X218" s="22"/>
      <c r="Y218" s="86"/>
      <c r="Z218" s="86"/>
      <c r="AA218" s="86"/>
      <c r="AB218" s="86"/>
    </row>
    <row r="219" spans="1:28" s="41" customFormat="1" ht="89.25">
      <c r="A219" s="22" t="s">
        <v>104</v>
      </c>
      <c r="B219" s="22" t="s">
        <v>422</v>
      </c>
      <c r="C219" s="217" t="s">
        <v>573</v>
      </c>
      <c r="D219" s="15" t="s">
        <v>574</v>
      </c>
      <c r="E219" s="139" t="s">
        <v>574</v>
      </c>
      <c r="F219" s="139" t="s">
        <v>116</v>
      </c>
      <c r="G219" s="286" t="s">
        <v>242</v>
      </c>
      <c r="H219" s="87">
        <v>100</v>
      </c>
      <c r="I219" s="65" t="s">
        <v>117</v>
      </c>
      <c r="J219" s="65" t="s">
        <v>118</v>
      </c>
      <c r="K219" s="22"/>
      <c r="L219" s="15" t="s">
        <v>119</v>
      </c>
      <c r="M219" s="22"/>
      <c r="N219" s="368">
        <v>168000</v>
      </c>
      <c r="O219" s="368">
        <v>168000</v>
      </c>
      <c r="P219" s="36"/>
      <c r="Q219" s="36"/>
      <c r="R219" s="36"/>
      <c r="S219" s="382"/>
      <c r="T219" s="178">
        <v>336000</v>
      </c>
      <c r="U219" s="37">
        <f t="shared" si="15"/>
        <v>376320.00000000006</v>
      </c>
      <c r="V219" s="22"/>
      <c r="W219" s="22">
        <v>2013</v>
      </c>
      <c r="X219" s="22"/>
      <c r="Y219" s="86"/>
      <c r="Z219" s="86"/>
      <c r="AA219" s="86"/>
      <c r="AB219" s="86"/>
    </row>
    <row r="220" spans="1:28" s="41" customFormat="1" ht="63.75">
      <c r="A220" s="22" t="s">
        <v>620</v>
      </c>
      <c r="B220" s="22" t="s">
        <v>422</v>
      </c>
      <c r="C220" s="217" t="s">
        <v>573</v>
      </c>
      <c r="D220" s="15" t="s">
        <v>574</v>
      </c>
      <c r="E220" s="15" t="s">
        <v>574</v>
      </c>
      <c r="F220" s="15" t="s">
        <v>621</v>
      </c>
      <c r="G220" s="22" t="s">
        <v>242</v>
      </c>
      <c r="H220" s="87">
        <v>0</v>
      </c>
      <c r="I220" s="65" t="s">
        <v>622</v>
      </c>
      <c r="J220" s="65" t="s">
        <v>623</v>
      </c>
      <c r="K220" s="22"/>
      <c r="L220" s="15" t="s">
        <v>119</v>
      </c>
      <c r="M220" s="22"/>
      <c r="N220" s="368">
        <v>21101500</v>
      </c>
      <c r="O220" s="368">
        <v>21101500</v>
      </c>
      <c r="P220" s="36"/>
      <c r="Q220" s="36"/>
      <c r="R220" s="36"/>
      <c r="S220" s="382"/>
      <c r="T220" s="178">
        <v>42203000</v>
      </c>
      <c r="U220" s="37">
        <f aca="true" t="shared" si="17" ref="U220:U243">T220*1.12</f>
        <v>47267360.00000001</v>
      </c>
      <c r="V220" s="22"/>
      <c r="W220" s="22">
        <v>2013</v>
      </c>
      <c r="X220" s="22"/>
      <c r="Y220" s="86"/>
      <c r="Z220" s="86"/>
      <c r="AA220" s="86"/>
      <c r="AB220" s="86"/>
    </row>
    <row r="221" spans="1:28" s="41" customFormat="1" ht="63.75">
      <c r="A221" s="22" t="s">
        <v>629</v>
      </c>
      <c r="B221" s="22" t="s">
        <v>422</v>
      </c>
      <c r="C221" s="217" t="s">
        <v>573</v>
      </c>
      <c r="D221" s="15" t="s">
        <v>574</v>
      </c>
      <c r="E221" s="15" t="s">
        <v>574</v>
      </c>
      <c r="F221" s="15" t="s">
        <v>631</v>
      </c>
      <c r="G221" s="22" t="s">
        <v>242</v>
      </c>
      <c r="H221" s="87">
        <v>0</v>
      </c>
      <c r="I221" s="65" t="s">
        <v>633</v>
      </c>
      <c r="J221" s="65" t="s">
        <v>634</v>
      </c>
      <c r="K221" s="22"/>
      <c r="L221" s="15" t="s">
        <v>119</v>
      </c>
      <c r="M221" s="22"/>
      <c r="N221" s="368">
        <v>2359000</v>
      </c>
      <c r="O221" s="368">
        <v>2359000</v>
      </c>
      <c r="P221" s="36"/>
      <c r="Q221" s="36"/>
      <c r="R221" s="36"/>
      <c r="S221" s="382"/>
      <c r="T221" s="178">
        <v>4718000</v>
      </c>
      <c r="U221" s="37">
        <f t="shared" si="17"/>
        <v>5284160.000000001</v>
      </c>
      <c r="V221" s="22"/>
      <c r="W221" s="22">
        <v>2013</v>
      </c>
      <c r="X221" s="22"/>
      <c r="Y221" s="86"/>
      <c r="Z221" s="86"/>
      <c r="AA221" s="86"/>
      <c r="AB221" s="86"/>
    </row>
    <row r="222" spans="1:28" s="41" customFormat="1" ht="63.75">
      <c r="A222" s="22" t="s">
        <v>630</v>
      </c>
      <c r="B222" s="22" t="s">
        <v>422</v>
      </c>
      <c r="C222" s="217" t="s">
        <v>573</v>
      </c>
      <c r="D222" s="15" t="s">
        <v>574</v>
      </c>
      <c r="E222" s="15" t="s">
        <v>574</v>
      </c>
      <c r="F222" s="15" t="s">
        <v>632</v>
      </c>
      <c r="G222" s="22" t="s">
        <v>242</v>
      </c>
      <c r="H222" s="87">
        <v>0</v>
      </c>
      <c r="I222" s="65" t="s">
        <v>633</v>
      </c>
      <c r="J222" s="65" t="s">
        <v>635</v>
      </c>
      <c r="K222" s="22"/>
      <c r="L222" s="15" t="s">
        <v>119</v>
      </c>
      <c r="M222" s="22"/>
      <c r="N222" s="368">
        <v>8847000</v>
      </c>
      <c r="O222" s="368">
        <v>29383000</v>
      </c>
      <c r="P222" s="36">
        <v>14850000</v>
      </c>
      <c r="Q222" s="36"/>
      <c r="R222" s="36"/>
      <c r="S222" s="382"/>
      <c r="T222" s="178">
        <v>53080000</v>
      </c>
      <c r="U222" s="37">
        <f t="shared" si="17"/>
        <v>59449600.00000001</v>
      </c>
      <c r="V222" s="22"/>
      <c r="W222" s="22">
        <v>2013</v>
      </c>
      <c r="X222" s="22"/>
      <c r="Y222" s="86"/>
      <c r="Z222" s="86"/>
      <c r="AA222" s="86"/>
      <c r="AB222" s="86"/>
    </row>
    <row r="223" spans="1:24" ht="51">
      <c r="A223" s="22" t="s">
        <v>859</v>
      </c>
      <c r="B223" s="22" t="s">
        <v>422</v>
      </c>
      <c r="C223" s="87" t="s">
        <v>575</v>
      </c>
      <c r="D223" s="22" t="s">
        <v>576</v>
      </c>
      <c r="E223" s="193" t="s">
        <v>576</v>
      </c>
      <c r="F223" s="193" t="s">
        <v>577</v>
      </c>
      <c r="G223" s="405"/>
      <c r="H223" s="130"/>
      <c r="I223" s="234"/>
      <c r="J223" s="235" t="s">
        <v>566</v>
      </c>
      <c r="K223" s="193"/>
      <c r="L223" s="223"/>
      <c r="M223" s="193"/>
      <c r="N223" s="238"/>
      <c r="O223" s="238">
        <v>865399342.5</v>
      </c>
      <c r="P223" s="238">
        <v>923623816.5</v>
      </c>
      <c r="Q223" s="37">
        <v>949675765.5</v>
      </c>
      <c r="R223" s="37">
        <v>1007034039</v>
      </c>
      <c r="S223" s="37"/>
      <c r="T223" s="238">
        <f aca="true" t="shared" si="18" ref="T223:T229">N223+O223+P223+Q223+R223</f>
        <v>3745732963.5</v>
      </c>
      <c r="U223" s="37">
        <f t="shared" si="17"/>
        <v>4195220919.1200004</v>
      </c>
      <c r="V223" s="22"/>
      <c r="W223" s="22">
        <v>2013</v>
      </c>
      <c r="X223" s="141"/>
    </row>
    <row r="224" spans="1:24" ht="76.5">
      <c r="A224" s="22" t="s">
        <v>860</v>
      </c>
      <c r="B224" s="22" t="s">
        <v>422</v>
      </c>
      <c r="C224" s="180" t="s">
        <v>987</v>
      </c>
      <c r="D224" s="162" t="s">
        <v>988</v>
      </c>
      <c r="E224" s="162" t="s">
        <v>989</v>
      </c>
      <c r="F224" s="15" t="s">
        <v>578</v>
      </c>
      <c r="G224" s="221"/>
      <c r="H224" s="22"/>
      <c r="I224" s="70"/>
      <c r="J224" s="201" t="s">
        <v>589</v>
      </c>
      <c r="K224" s="22"/>
      <c r="L224" s="222"/>
      <c r="M224" s="22"/>
      <c r="N224" s="71"/>
      <c r="O224" s="71">
        <v>6644418960</v>
      </c>
      <c r="P224" s="71">
        <v>7779024000</v>
      </c>
      <c r="Q224" s="71">
        <v>8069638500</v>
      </c>
      <c r="R224" s="71">
        <v>8172549000</v>
      </c>
      <c r="S224" s="72"/>
      <c r="T224" s="37">
        <f t="shared" si="18"/>
        <v>30665630460</v>
      </c>
      <c r="U224" s="37">
        <f t="shared" si="17"/>
        <v>34345506115.200005</v>
      </c>
      <c r="V224" s="22"/>
      <c r="W224" s="22">
        <v>2013</v>
      </c>
      <c r="X224" s="22" t="s">
        <v>1130</v>
      </c>
    </row>
    <row r="225" spans="1:24" ht="63.75">
      <c r="A225" s="22" t="s">
        <v>962</v>
      </c>
      <c r="B225" s="22" t="s">
        <v>422</v>
      </c>
      <c r="C225" s="180" t="s">
        <v>987</v>
      </c>
      <c r="D225" s="162" t="s">
        <v>988</v>
      </c>
      <c r="E225" s="162" t="s">
        <v>989</v>
      </c>
      <c r="F225" s="211" t="s">
        <v>963</v>
      </c>
      <c r="G225" s="221" t="s">
        <v>257</v>
      </c>
      <c r="H225" s="22">
        <v>0</v>
      </c>
      <c r="I225" s="70">
        <v>41365</v>
      </c>
      <c r="J225" s="68" t="s">
        <v>662</v>
      </c>
      <c r="K225" s="22"/>
      <c r="L225" s="211" t="s">
        <v>964</v>
      </c>
      <c r="M225" s="22"/>
      <c r="N225" s="71">
        <v>7425000</v>
      </c>
      <c r="O225" s="71">
        <v>7425000</v>
      </c>
      <c r="P225" s="71">
        <v>7425000</v>
      </c>
      <c r="Q225" s="71"/>
      <c r="R225" s="71"/>
      <c r="S225" s="72"/>
      <c r="T225" s="37">
        <f t="shared" si="18"/>
        <v>22275000</v>
      </c>
      <c r="U225" s="37">
        <f t="shared" si="17"/>
        <v>24948000.000000004</v>
      </c>
      <c r="V225" s="22"/>
      <c r="W225" s="22">
        <v>2013</v>
      </c>
      <c r="X225" s="141"/>
    </row>
    <row r="226" spans="1:24" ht="63.75">
      <c r="A226" s="22" t="s">
        <v>986</v>
      </c>
      <c r="B226" s="22" t="s">
        <v>422</v>
      </c>
      <c r="C226" s="180" t="s">
        <v>987</v>
      </c>
      <c r="D226" s="162" t="s">
        <v>988</v>
      </c>
      <c r="E226" s="162" t="s">
        <v>989</v>
      </c>
      <c r="F226" s="211" t="s">
        <v>990</v>
      </c>
      <c r="G226" s="221" t="s">
        <v>257</v>
      </c>
      <c r="H226" s="22">
        <v>0</v>
      </c>
      <c r="I226" s="15" t="s">
        <v>397</v>
      </c>
      <c r="J226" s="68" t="s">
        <v>991</v>
      </c>
      <c r="K226" s="22"/>
      <c r="L226" s="211" t="s">
        <v>964</v>
      </c>
      <c r="M226" s="22"/>
      <c r="N226" s="71">
        <v>7147000</v>
      </c>
      <c r="O226" s="71">
        <v>28590000</v>
      </c>
      <c r="P226" s="71"/>
      <c r="Q226" s="71"/>
      <c r="R226" s="71"/>
      <c r="S226" s="72"/>
      <c r="T226" s="37">
        <f t="shared" si="18"/>
        <v>35737000</v>
      </c>
      <c r="U226" s="37">
        <f t="shared" si="17"/>
        <v>40025440.00000001</v>
      </c>
      <c r="V226" s="22"/>
      <c r="W226" s="22">
        <v>2013</v>
      </c>
      <c r="X226" s="141"/>
    </row>
    <row r="227" spans="1:24" ht="63.75">
      <c r="A227" s="22" t="s">
        <v>1126</v>
      </c>
      <c r="B227" s="22" t="s">
        <v>422</v>
      </c>
      <c r="C227" s="401" t="s">
        <v>1128</v>
      </c>
      <c r="D227" s="162" t="s">
        <v>988</v>
      </c>
      <c r="E227" s="162" t="s">
        <v>989</v>
      </c>
      <c r="F227" s="211" t="s">
        <v>1127</v>
      </c>
      <c r="G227" s="221" t="s">
        <v>257</v>
      </c>
      <c r="H227" s="22">
        <v>0</v>
      </c>
      <c r="I227" s="15" t="s">
        <v>1129</v>
      </c>
      <c r="J227" s="212" t="s">
        <v>1112</v>
      </c>
      <c r="K227" s="22"/>
      <c r="L227" s="211" t="s">
        <v>964</v>
      </c>
      <c r="M227" s="22"/>
      <c r="N227" s="71">
        <v>1657160</v>
      </c>
      <c r="O227" s="71">
        <v>19886040</v>
      </c>
      <c r="P227" s="71"/>
      <c r="Q227" s="71"/>
      <c r="R227" s="71"/>
      <c r="S227" s="72"/>
      <c r="T227" s="37">
        <f>N227+O227+P227+Q227+R227</f>
        <v>21543200</v>
      </c>
      <c r="U227" s="37">
        <f>T227*1.12</f>
        <v>24128384.000000004</v>
      </c>
      <c r="V227" s="22"/>
      <c r="W227" s="22">
        <v>2013</v>
      </c>
      <c r="X227" s="141"/>
    </row>
    <row r="228" spans="1:24" ht="51">
      <c r="A228" s="22" t="s">
        <v>861</v>
      </c>
      <c r="B228" s="22" t="s">
        <v>422</v>
      </c>
      <c r="C228" s="87"/>
      <c r="D228" s="15" t="s">
        <v>581</v>
      </c>
      <c r="E228" s="22"/>
      <c r="F228" s="193"/>
      <c r="G228" s="221"/>
      <c r="H228" s="22"/>
      <c r="I228" s="70"/>
      <c r="J228" s="68" t="s">
        <v>566</v>
      </c>
      <c r="K228" s="22"/>
      <c r="L228" s="223"/>
      <c r="M228" s="22"/>
      <c r="N228" s="32"/>
      <c r="O228" s="32">
        <v>434259000</v>
      </c>
      <c r="P228" s="32">
        <v>456979500</v>
      </c>
      <c r="Q228" s="32">
        <v>474948000</v>
      </c>
      <c r="R228" s="32">
        <v>486382500</v>
      </c>
      <c r="S228" s="37"/>
      <c r="T228" s="37">
        <f t="shared" si="18"/>
        <v>1852569000</v>
      </c>
      <c r="U228" s="37">
        <f t="shared" si="17"/>
        <v>2074877280.0000002</v>
      </c>
      <c r="V228" s="22"/>
      <c r="W228" s="22">
        <v>2013</v>
      </c>
      <c r="X228" s="22" t="s">
        <v>970</v>
      </c>
    </row>
    <row r="229" spans="1:28" s="41" customFormat="1" ht="76.5">
      <c r="A229" s="22" t="s">
        <v>969</v>
      </c>
      <c r="B229" s="22" t="s">
        <v>422</v>
      </c>
      <c r="C229" s="266" t="s">
        <v>965</v>
      </c>
      <c r="D229" s="224" t="s">
        <v>966</v>
      </c>
      <c r="E229" s="224" t="s">
        <v>967</v>
      </c>
      <c r="F229" s="15" t="s">
        <v>968</v>
      </c>
      <c r="G229" s="221" t="s">
        <v>242</v>
      </c>
      <c r="H229" s="22">
        <v>0</v>
      </c>
      <c r="I229" s="76" t="s">
        <v>885</v>
      </c>
      <c r="J229" s="201" t="s">
        <v>589</v>
      </c>
      <c r="K229" s="22"/>
      <c r="L229" s="217" t="s">
        <v>961</v>
      </c>
      <c r="M229" s="22"/>
      <c r="N229" s="219">
        <v>25200000</v>
      </c>
      <c r="O229" s="219">
        <v>25200000</v>
      </c>
      <c r="P229" s="219">
        <v>25200000</v>
      </c>
      <c r="Q229" s="219">
        <v>25200000</v>
      </c>
      <c r="R229" s="219">
        <v>25200000</v>
      </c>
      <c r="S229" s="37"/>
      <c r="T229" s="37">
        <f t="shared" si="18"/>
        <v>126000000</v>
      </c>
      <c r="U229" s="37">
        <f t="shared" si="17"/>
        <v>141120000</v>
      </c>
      <c r="V229" s="22"/>
      <c r="W229" s="22">
        <v>2013</v>
      </c>
      <c r="X229" s="82"/>
      <c r="Y229" s="86"/>
      <c r="Z229" s="86"/>
      <c r="AA229" s="86"/>
      <c r="AB229" s="86"/>
    </row>
    <row r="230" spans="1:24" s="41" customFormat="1" ht="114.75">
      <c r="A230" s="22" t="s">
        <v>862</v>
      </c>
      <c r="B230" s="22" t="s">
        <v>422</v>
      </c>
      <c r="C230" s="22" t="s">
        <v>582</v>
      </c>
      <c r="D230" s="23" t="s">
        <v>583</v>
      </c>
      <c r="E230" s="22" t="s">
        <v>584</v>
      </c>
      <c r="F230" s="22" t="s">
        <v>585</v>
      </c>
      <c r="G230" s="221"/>
      <c r="H230" s="22"/>
      <c r="I230" s="76"/>
      <c r="J230" s="21" t="s">
        <v>566</v>
      </c>
      <c r="K230" s="42"/>
      <c r="L230" s="184"/>
      <c r="M230" s="402"/>
      <c r="N230" s="62"/>
      <c r="O230" s="205">
        <v>1183945300</v>
      </c>
      <c r="P230" s="205">
        <v>2650772000</v>
      </c>
      <c r="Q230" s="205">
        <v>2773621500</v>
      </c>
      <c r="R230" s="37">
        <v>3040537500</v>
      </c>
      <c r="S230" s="37"/>
      <c r="T230" s="37">
        <f>O230+P230+Q230+R230</f>
        <v>9648876300</v>
      </c>
      <c r="U230" s="37">
        <f t="shared" si="17"/>
        <v>10806741456.000002</v>
      </c>
      <c r="V230" s="22"/>
      <c r="W230" s="22">
        <v>2013</v>
      </c>
      <c r="X230" s="22" t="s">
        <v>1040</v>
      </c>
    </row>
    <row r="231" spans="1:24" s="41" customFormat="1" ht="63.75">
      <c r="A231" s="22" t="s">
        <v>615</v>
      </c>
      <c r="B231" s="22" t="s">
        <v>422</v>
      </c>
      <c r="C231" s="401" t="s">
        <v>612</v>
      </c>
      <c r="D231" s="401" t="s">
        <v>613</v>
      </c>
      <c r="E231" s="401" t="s">
        <v>613</v>
      </c>
      <c r="F231" s="401" t="s">
        <v>614</v>
      </c>
      <c r="G231" s="221" t="s">
        <v>242</v>
      </c>
      <c r="H231" s="22">
        <v>0</v>
      </c>
      <c r="I231" s="76" t="s">
        <v>117</v>
      </c>
      <c r="J231" s="21" t="s">
        <v>566</v>
      </c>
      <c r="K231" s="22"/>
      <c r="L231" s="211" t="s">
        <v>616</v>
      </c>
      <c r="M231" s="62"/>
      <c r="N231" s="392">
        <v>6840000</v>
      </c>
      <c r="O231" s="392">
        <v>13680000</v>
      </c>
      <c r="P231" s="392">
        <v>15960000</v>
      </c>
      <c r="Q231" s="392">
        <v>9120000</v>
      </c>
      <c r="R231" s="403"/>
      <c r="S231" s="37"/>
      <c r="T231" s="37">
        <f>N231+O231+P231+Q231</f>
        <v>45600000</v>
      </c>
      <c r="U231" s="37">
        <f t="shared" si="17"/>
        <v>51072000.00000001</v>
      </c>
      <c r="V231" s="22"/>
      <c r="W231" s="22">
        <v>2013</v>
      </c>
      <c r="X231" s="141"/>
    </row>
    <row r="232" spans="1:24" s="41" customFormat="1" ht="51">
      <c r="A232" s="22" t="s">
        <v>271</v>
      </c>
      <c r="B232" s="22" t="s">
        <v>422</v>
      </c>
      <c r="C232" s="67" t="s">
        <v>573</v>
      </c>
      <c r="D232" s="67" t="s">
        <v>574</v>
      </c>
      <c r="E232" s="67" t="s">
        <v>574</v>
      </c>
      <c r="F232" s="15" t="s">
        <v>272</v>
      </c>
      <c r="G232" s="221" t="s">
        <v>257</v>
      </c>
      <c r="H232" s="22">
        <v>0</v>
      </c>
      <c r="I232" s="76">
        <v>41518</v>
      </c>
      <c r="J232" s="212" t="s">
        <v>274</v>
      </c>
      <c r="K232" s="22"/>
      <c r="L232" s="211" t="s">
        <v>273</v>
      </c>
      <c r="M232" s="62"/>
      <c r="N232" s="392">
        <v>8191600</v>
      </c>
      <c r="O232" s="392">
        <v>16383200</v>
      </c>
      <c r="P232" s="392"/>
      <c r="Q232" s="392"/>
      <c r="R232" s="403"/>
      <c r="S232" s="37"/>
      <c r="T232" s="37">
        <v>0</v>
      </c>
      <c r="U232" s="37">
        <f t="shared" si="17"/>
        <v>0</v>
      </c>
      <c r="V232" s="22"/>
      <c r="W232" s="22">
        <v>2013</v>
      </c>
      <c r="X232" s="22" t="s">
        <v>927</v>
      </c>
    </row>
    <row r="233" spans="1:24" s="41" customFormat="1" ht="51">
      <c r="A233" s="22" t="s">
        <v>998</v>
      </c>
      <c r="B233" s="22" t="s">
        <v>422</v>
      </c>
      <c r="C233" s="67" t="s">
        <v>573</v>
      </c>
      <c r="D233" s="67" t="s">
        <v>574</v>
      </c>
      <c r="E233" s="67" t="s">
        <v>574</v>
      </c>
      <c r="F233" s="15" t="s">
        <v>272</v>
      </c>
      <c r="G233" s="221" t="s">
        <v>257</v>
      </c>
      <c r="H233" s="22">
        <v>0</v>
      </c>
      <c r="I233" s="76">
        <v>41518</v>
      </c>
      <c r="J233" s="212" t="s">
        <v>274</v>
      </c>
      <c r="K233" s="22"/>
      <c r="L233" s="211" t="s">
        <v>273</v>
      </c>
      <c r="M233" s="62"/>
      <c r="N233" s="392">
        <v>8255300</v>
      </c>
      <c r="O233" s="392">
        <v>16607200</v>
      </c>
      <c r="P233" s="392"/>
      <c r="Q233" s="392"/>
      <c r="R233" s="403"/>
      <c r="S233" s="37"/>
      <c r="T233" s="37">
        <v>24862500</v>
      </c>
      <c r="U233" s="37">
        <f t="shared" si="17"/>
        <v>27846000.000000004</v>
      </c>
      <c r="V233" s="22"/>
      <c r="W233" s="22">
        <v>2013</v>
      </c>
      <c r="X233" s="22"/>
    </row>
    <row r="234" spans="1:24" s="41" customFormat="1" ht="76.5">
      <c r="A234" s="22" t="s">
        <v>1033</v>
      </c>
      <c r="B234" s="22" t="s">
        <v>422</v>
      </c>
      <c r="C234" s="17" t="s">
        <v>1034</v>
      </c>
      <c r="D234" s="17" t="s">
        <v>1035</v>
      </c>
      <c r="E234" s="15" t="s">
        <v>1036</v>
      </c>
      <c r="F234" s="17" t="s">
        <v>1037</v>
      </c>
      <c r="G234" s="221" t="s">
        <v>257</v>
      </c>
      <c r="H234" s="22">
        <v>0</v>
      </c>
      <c r="I234" s="76" t="s">
        <v>1038</v>
      </c>
      <c r="J234" s="212" t="s">
        <v>1039</v>
      </c>
      <c r="K234" s="22"/>
      <c r="L234" s="211" t="s">
        <v>273</v>
      </c>
      <c r="M234" s="62"/>
      <c r="N234" s="392">
        <v>15400000</v>
      </c>
      <c r="O234" s="392">
        <v>25000000</v>
      </c>
      <c r="P234" s="392">
        <v>625000</v>
      </c>
      <c r="Q234" s="392"/>
      <c r="R234" s="403"/>
      <c r="S234" s="37"/>
      <c r="T234" s="37">
        <f>SUM(N234:R234)</f>
        <v>41025000</v>
      </c>
      <c r="U234" s="37">
        <f t="shared" si="17"/>
        <v>45948000.00000001</v>
      </c>
      <c r="V234" s="22"/>
      <c r="W234" s="22">
        <v>2013</v>
      </c>
      <c r="X234" s="22"/>
    </row>
    <row r="235" spans="1:24" s="41" customFormat="1" ht="75" customHeight="1">
      <c r="A235" s="22" t="s">
        <v>863</v>
      </c>
      <c r="B235" s="22" t="s">
        <v>422</v>
      </c>
      <c r="C235" s="87"/>
      <c r="D235" s="22" t="s">
        <v>259</v>
      </c>
      <c r="E235" s="14" t="s">
        <v>259</v>
      </c>
      <c r="F235" s="22"/>
      <c r="G235" s="281" t="s">
        <v>242</v>
      </c>
      <c r="H235" s="22">
        <v>0</v>
      </c>
      <c r="I235" s="39" t="s">
        <v>544</v>
      </c>
      <c r="J235" s="22" t="s">
        <v>545</v>
      </c>
      <c r="K235" s="22"/>
      <c r="L235" s="22" t="s">
        <v>546</v>
      </c>
      <c r="M235" s="62"/>
      <c r="N235" s="62">
        <v>742500000</v>
      </c>
      <c r="O235" s="62">
        <v>742500000</v>
      </c>
      <c r="P235" s="62"/>
      <c r="Q235" s="62"/>
      <c r="R235" s="62"/>
      <c r="S235" s="62"/>
      <c r="T235" s="37">
        <v>1485000000</v>
      </c>
      <c r="U235" s="37">
        <f t="shared" si="17"/>
        <v>1663200000.0000002</v>
      </c>
      <c r="V235" s="22"/>
      <c r="W235" s="20">
        <v>2013</v>
      </c>
      <c r="X235" s="22"/>
    </row>
    <row r="236" spans="1:24" ht="76.5">
      <c r="A236" s="22" t="s">
        <v>864</v>
      </c>
      <c r="B236" s="22" t="s">
        <v>422</v>
      </c>
      <c r="C236" s="220"/>
      <c r="D236" s="15" t="s">
        <v>592</v>
      </c>
      <c r="E236" s="15" t="s">
        <v>592</v>
      </c>
      <c r="F236" s="15" t="s">
        <v>592</v>
      </c>
      <c r="G236" s="289"/>
      <c r="H236" s="135"/>
      <c r="I236" s="70"/>
      <c r="J236" s="68" t="s">
        <v>589</v>
      </c>
      <c r="K236" s="15"/>
      <c r="L236" s="73"/>
      <c r="M236" s="15"/>
      <c r="N236" s="33"/>
      <c r="O236" s="33">
        <v>279318402</v>
      </c>
      <c r="P236" s="33">
        <v>299479505</v>
      </c>
      <c r="Q236" s="33">
        <v>316082547</v>
      </c>
      <c r="R236" s="33">
        <v>324950225</v>
      </c>
      <c r="S236" s="33"/>
      <c r="T236" s="33">
        <f>O236+P236+Q236+R236</f>
        <v>1219830679</v>
      </c>
      <c r="U236" s="37">
        <f t="shared" si="17"/>
        <v>1366210360.48</v>
      </c>
      <c r="V236" s="15"/>
      <c r="W236" s="15">
        <v>2013</v>
      </c>
      <c r="X236" s="140"/>
    </row>
    <row r="237" spans="1:24" s="132" customFormat="1" ht="25.5">
      <c r="A237" s="22" t="s">
        <v>865</v>
      </c>
      <c r="B237" s="22" t="s">
        <v>422</v>
      </c>
      <c r="C237" s="87"/>
      <c r="D237" s="21" t="s">
        <v>416</v>
      </c>
      <c r="E237" s="21" t="s">
        <v>417</v>
      </c>
      <c r="F237" s="22"/>
      <c r="G237" s="221" t="s">
        <v>257</v>
      </c>
      <c r="H237" s="22">
        <v>100</v>
      </c>
      <c r="I237" s="21" t="s">
        <v>191</v>
      </c>
      <c r="J237" s="21" t="s">
        <v>253</v>
      </c>
      <c r="K237" s="22"/>
      <c r="L237" s="21" t="s">
        <v>418</v>
      </c>
      <c r="M237" s="62"/>
      <c r="N237" s="62">
        <v>160000</v>
      </c>
      <c r="O237" s="62">
        <v>160000</v>
      </c>
      <c r="P237" s="62">
        <v>160000</v>
      </c>
      <c r="Q237" s="62">
        <v>160000</v>
      </c>
      <c r="R237" s="62">
        <v>160000</v>
      </c>
      <c r="S237" s="62"/>
      <c r="T237" s="37">
        <v>800000</v>
      </c>
      <c r="U237" s="37">
        <f t="shared" si="17"/>
        <v>896000.0000000001</v>
      </c>
      <c r="V237" s="22"/>
      <c r="W237" s="20">
        <v>2012</v>
      </c>
      <c r="X237" s="22"/>
    </row>
    <row r="238" spans="1:24" s="41" customFormat="1" ht="76.5">
      <c r="A238" s="22" t="s">
        <v>866</v>
      </c>
      <c r="B238" s="22" t="s">
        <v>422</v>
      </c>
      <c r="C238" s="267" t="s">
        <v>599</v>
      </c>
      <c r="D238" s="226" t="s">
        <v>600</v>
      </c>
      <c r="E238" s="226" t="s">
        <v>601</v>
      </c>
      <c r="F238" s="42" t="s">
        <v>602</v>
      </c>
      <c r="G238" s="290"/>
      <c r="H238" s="227"/>
      <c r="I238" s="200"/>
      <c r="J238" s="184" t="s">
        <v>589</v>
      </c>
      <c r="K238" s="42"/>
      <c r="L238" s="184"/>
      <c r="M238" s="42"/>
      <c r="N238" s="225"/>
      <c r="O238" s="392">
        <v>243417480</v>
      </c>
      <c r="P238" s="392">
        <v>269701980</v>
      </c>
      <c r="Q238" s="392">
        <v>291234480</v>
      </c>
      <c r="R238" s="392">
        <v>306022740</v>
      </c>
      <c r="S238" s="37"/>
      <c r="T238" s="37">
        <f>N238+O238+P238+Q238+R238</f>
        <v>1110376680</v>
      </c>
      <c r="U238" s="37">
        <f t="shared" si="17"/>
        <v>1243621881.6000001</v>
      </c>
      <c r="V238" s="22"/>
      <c r="W238" s="22">
        <v>2013</v>
      </c>
      <c r="X238" s="22" t="s">
        <v>1123</v>
      </c>
    </row>
    <row r="239" spans="1:24" s="41" customFormat="1" ht="76.5">
      <c r="A239" s="42" t="s">
        <v>974</v>
      </c>
      <c r="B239" s="42" t="s">
        <v>422</v>
      </c>
      <c r="C239" s="267" t="s">
        <v>980</v>
      </c>
      <c r="D239" s="356" t="s">
        <v>0</v>
      </c>
      <c r="E239" s="356" t="s">
        <v>1</v>
      </c>
      <c r="F239" s="356" t="s">
        <v>2</v>
      </c>
      <c r="G239" s="357" t="s">
        <v>257</v>
      </c>
      <c r="H239" s="42">
        <v>0</v>
      </c>
      <c r="I239" s="356" t="s">
        <v>4</v>
      </c>
      <c r="J239" s="356" t="s">
        <v>3</v>
      </c>
      <c r="K239" s="42"/>
      <c r="L239" s="358" t="s">
        <v>964</v>
      </c>
      <c r="M239" s="42"/>
      <c r="N239" s="355">
        <v>3840000</v>
      </c>
      <c r="O239" s="355">
        <v>7680000</v>
      </c>
      <c r="P239" s="355">
        <v>7680000</v>
      </c>
      <c r="Q239" s="355">
        <v>7680000</v>
      </c>
      <c r="R239" s="355">
        <v>7680000</v>
      </c>
      <c r="S239" s="359"/>
      <c r="T239" s="37">
        <v>38400000</v>
      </c>
      <c r="U239" s="37">
        <f t="shared" si="17"/>
        <v>43008000.00000001</v>
      </c>
      <c r="V239" s="22"/>
      <c r="W239" s="22">
        <v>2013</v>
      </c>
      <c r="X239" s="82"/>
    </row>
    <row r="240" spans="1:24" s="41" customFormat="1" ht="63.75">
      <c r="A240" s="22" t="s">
        <v>11</v>
      </c>
      <c r="B240" s="22" t="s">
        <v>422</v>
      </c>
      <c r="C240" s="180" t="s">
        <v>12</v>
      </c>
      <c r="D240" s="360" t="s">
        <v>13</v>
      </c>
      <c r="E240" s="360" t="s">
        <v>14</v>
      </c>
      <c r="F240" s="360" t="s">
        <v>15</v>
      </c>
      <c r="G240" s="23" t="s">
        <v>257</v>
      </c>
      <c r="H240" s="130"/>
      <c r="I240" s="361" t="s">
        <v>16</v>
      </c>
      <c r="J240" s="212" t="s">
        <v>17</v>
      </c>
      <c r="K240" s="22"/>
      <c r="L240" s="15" t="s">
        <v>964</v>
      </c>
      <c r="M240" s="22"/>
      <c r="N240" s="399">
        <f>2383360*7</f>
        <v>16683520</v>
      </c>
      <c r="O240" s="399">
        <f>2383360*12</f>
        <v>28600320</v>
      </c>
      <c r="P240" s="399">
        <f>2383360*12</f>
        <v>28600320</v>
      </c>
      <c r="Q240" s="399">
        <f>2383360*12</f>
        <v>28600320</v>
      </c>
      <c r="R240" s="399">
        <f>2383360*12</f>
        <v>28600320</v>
      </c>
      <c r="S240" s="37"/>
      <c r="T240" s="37">
        <v>143001600</v>
      </c>
      <c r="U240" s="37">
        <f t="shared" si="17"/>
        <v>160161792.00000003</v>
      </c>
      <c r="V240" s="22"/>
      <c r="W240" s="22">
        <v>2013</v>
      </c>
      <c r="X240" s="82"/>
    </row>
    <row r="241" spans="1:24" s="41" customFormat="1" ht="76.5">
      <c r="A241" s="42" t="s">
        <v>807</v>
      </c>
      <c r="B241" s="42" t="s">
        <v>422</v>
      </c>
      <c r="C241" s="267" t="s">
        <v>980</v>
      </c>
      <c r="D241" s="356" t="s">
        <v>0</v>
      </c>
      <c r="E241" s="356" t="s">
        <v>1</v>
      </c>
      <c r="F241" s="356" t="s">
        <v>2</v>
      </c>
      <c r="G241" s="357" t="s">
        <v>257</v>
      </c>
      <c r="H241" s="42">
        <v>0</v>
      </c>
      <c r="I241" s="398">
        <v>41426</v>
      </c>
      <c r="J241" s="356" t="s">
        <v>407</v>
      </c>
      <c r="K241" s="42"/>
      <c r="L241" s="358" t="s">
        <v>964</v>
      </c>
      <c r="M241" s="42"/>
      <c r="N241" s="355">
        <v>39338520</v>
      </c>
      <c r="O241" s="355">
        <v>78677040</v>
      </c>
      <c r="P241" s="355">
        <v>78677040</v>
      </c>
      <c r="Q241" s="355">
        <v>78677040</v>
      </c>
      <c r="R241" s="355">
        <v>78677040</v>
      </c>
      <c r="S241" s="359"/>
      <c r="T241" s="37">
        <v>0</v>
      </c>
      <c r="U241" s="37">
        <f t="shared" si="17"/>
        <v>0</v>
      </c>
      <c r="V241" s="22"/>
      <c r="W241" s="22">
        <v>2013</v>
      </c>
      <c r="X241" s="22" t="s">
        <v>927</v>
      </c>
    </row>
    <row r="242" spans="1:24" s="41" customFormat="1" ht="38.25">
      <c r="A242" s="22" t="s">
        <v>388</v>
      </c>
      <c r="B242" s="22" t="s">
        <v>422</v>
      </c>
      <c r="C242" s="15" t="s">
        <v>12</v>
      </c>
      <c r="D242" s="15" t="s">
        <v>13</v>
      </c>
      <c r="E242" s="15" t="s">
        <v>14</v>
      </c>
      <c r="F242" s="15" t="s">
        <v>386</v>
      </c>
      <c r="G242" s="23" t="s">
        <v>257</v>
      </c>
      <c r="H242" s="42">
        <v>0</v>
      </c>
      <c r="I242" s="361" t="s">
        <v>376</v>
      </c>
      <c r="J242" s="15" t="s">
        <v>387</v>
      </c>
      <c r="K242" s="22"/>
      <c r="L242" s="15" t="s">
        <v>964</v>
      </c>
      <c r="M242" s="22"/>
      <c r="N242" s="33">
        <v>287560</v>
      </c>
      <c r="O242" s="33">
        <v>862680</v>
      </c>
      <c r="P242" s="33">
        <v>862680</v>
      </c>
      <c r="Q242" s="33">
        <v>862680</v>
      </c>
      <c r="R242" s="33">
        <v>862680</v>
      </c>
      <c r="S242" s="37"/>
      <c r="T242" s="33">
        <v>4313400</v>
      </c>
      <c r="U242" s="37">
        <f t="shared" si="17"/>
        <v>4831008</v>
      </c>
      <c r="V242" s="22"/>
      <c r="W242" s="22">
        <v>2013</v>
      </c>
      <c r="X242" s="82"/>
    </row>
    <row r="243" spans="1:24" s="41" customFormat="1" ht="76.5">
      <c r="A243" s="22" t="s">
        <v>389</v>
      </c>
      <c r="B243" s="22" t="s">
        <v>422</v>
      </c>
      <c r="C243" s="417" t="s">
        <v>980</v>
      </c>
      <c r="D243" s="417" t="s">
        <v>0</v>
      </c>
      <c r="E243" s="417" t="s">
        <v>1</v>
      </c>
      <c r="F243" s="417" t="s">
        <v>390</v>
      </c>
      <c r="G243" s="23" t="s">
        <v>257</v>
      </c>
      <c r="H243" s="42">
        <v>0</v>
      </c>
      <c r="I243" s="361" t="s">
        <v>376</v>
      </c>
      <c r="J243" s="356" t="s">
        <v>407</v>
      </c>
      <c r="K243" s="22"/>
      <c r="L243" s="15" t="s">
        <v>964</v>
      </c>
      <c r="M243" s="22"/>
      <c r="N243" s="368">
        <v>11333100</v>
      </c>
      <c r="O243" s="368">
        <v>39512700</v>
      </c>
      <c r="P243" s="368">
        <v>43188300</v>
      </c>
      <c r="Q243" s="368">
        <v>46863900</v>
      </c>
      <c r="R243" s="368">
        <v>51458400</v>
      </c>
      <c r="S243" s="37"/>
      <c r="T243" s="33">
        <v>0</v>
      </c>
      <c r="U243" s="37">
        <f t="shared" si="17"/>
        <v>0</v>
      </c>
      <c r="V243" s="22"/>
      <c r="W243" s="22">
        <v>2013</v>
      </c>
      <c r="X243" s="22" t="s">
        <v>927</v>
      </c>
    </row>
    <row r="244" spans="1:24" s="41" customFormat="1" ht="76.5">
      <c r="A244" s="22" t="s">
        <v>78</v>
      </c>
      <c r="B244" s="22" t="s">
        <v>422</v>
      </c>
      <c r="C244" s="425" t="s">
        <v>980</v>
      </c>
      <c r="D244" s="425" t="s">
        <v>0</v>
      </c>
      <c r="E244" s="425" t="s">
        <v>1</v>
      </c>
      <c r="F244" s="425" t="s">
        <v>88</v>
      </c>
      <c r="G244" s="23" t="s">
        <v>257</v>
      </c>
      <c r="H244" s="42">
        <v>0</v>
      </c>
      <c r="I244" s="426" t="s">
        <v>98</v>
      </c>
      <c r="J244" s="427" t="s">
        <v>407</v>
      </c>
      <c r="K244" s="22"/>
      <c r="L244" s="22" t="s">
        <v>964</v>
      </c>
      <c r="M244" s="22"/>
      <c r="N244" s="428">
        <f>8370*155</f>
        <v>1297350</v>
      </c>
      <c r="O244" s="428">
        <f>33480*155</f>
        <v>5189400</v>
      </c>
      <c r="P244" s="428">
        <v>5189400</v>
      </c>
      <c r="Q244" s="428">
        <v>5189400</v>
      </c>
      <c r="R244" s="428">
        <v>5189400</v>
      </c>
      <c r="S244" s="37"/>
      <c r="T244" s="429">
        <f>234360*155</f>
        <v>36325800</v>
      </c>
      <c r="U244" s="37">
        <f aca="true" t="shared" si="19" ref="U244:U253">T244*1.12</f>
        <v>40684896.00000001</v>
      </c>
      <c r="V244" s="22"/>
      <c r="W244" s="22">
        <v>2013</v>
      </c>
      <c r="X244" s="82"/>
    </row>
    <row r="245" spans="1:24" s="41" customFormat="1" ht="76.5">
      <c r="A245" s="22" t="s">
        <v>79</v>
      </c>
      <c r="B245" s="22" t="s">
        <v>422</v>
      </c>
      <c r="C245" s="417" t="s">
        <v>980</v>
      </c>
      <c r="D245" s="417" t="s">
        <v>0</v>
      </c>
      <c r="E245" s="417" t="s">
        <v>1</v>
      </c>
      <c r="F245" s="417" t="s">
        <v>89</v>
      </c>
      <c r="G245" s="23" t="s">
        <v>257</v>
      </c>
      <c r="H245" s="42">
        <v>0</v>
      </c>
      <c r="I245" s="401" t="s">
        <v>98</v>
      </c>
      <c r="J245" s="356" t="s">
        <v>407</v>
      </c>
      <c r="K245" s="22"/>
      <c r="L245" s="15" t="s">
        <v>964</v>
      </c>
      <c r="M245" s="22"/>
      <c r="N245" s="368">
        <f>3483*155</f>
        <v>539865</v>
      </c>
      <c r="O245" s="368">
        <f>13932*155</f>
        <v>2159460</v>
      </c>
      <c r="P245" s="368">
        <v>2159460</v>
      </c>
      <c r="Q245" s="368">
        <v>2159460</v>
      </c>
      <c r="R245" s="368">
        <v>2159460</v>
      </c>
      <c r="S245" s="37"/>
      <c r="T245" s="392">
        <f>97524*155</f>
        <v>15116220</v>
      </c>
      <c r="U245" s="37">
        <f t="shared" si="19"/>
        <v>16930166.400000002</v>
      </c>
      <c r="V245" s="22"/>
      <c r="W245" s="22">
        <v>2013</v>
      </c>
      <c r="X245" s="82"/>
    </row>
    <row r="246" spans="1:24" s="41" customFormat="1" ht="76.5">
      <c r="A246" s="22" t="s">
        <v>80</v>
      </c>
      <c r="B246" s="22" t="s">
        <v>422</v>
      </c>
      <c r="C246" s="417" t="s">
        <v>980</v>
      </c>
      <c r="D246" s="417" t="s">
        <v>0</v>
      </c>
      <c r="E246" s="417" t="s">
        <v>1</v>
      </c>
      <c r="F246" s="417" t="s">
        <v>90</v>
      </c>
      <c r="G246" s="23" t="s">
        <v>257</v>
      </c>
      <c r="H246" s="42">
        <v>0</v>
      </c>
      <c r="I246" s="401" t="s">
        <v>98</v>
      </c>
      <c r="J246" s="356" t="s">
        <v>407</v>
      </c>
      <c r="K246" s="22"/>
      <c r="L246" s="15" t="s">
        <v>964</v>
      </c>
      <c r="M246" s="22"/>
      <c r="N246" s="368">
        <f>8100*155</f>
        <v>1255500</v>
      </c>
      <c r="O246" s="368">
        <f>32400*155</f>
        <v>5022000</v>
      </c>
      <c r="P246" s="368">
        <v>5022000</v>
      </c>
      <c r="Q246" s="368">
        <v>5022000</v>
      </c>
      <c r="R246" s="368">
        <v>5022000</v>
      </c>
      <c r="S246" s="37"/>
      <c r="T246" s="392">
        <f>226800*155</f>
        <v>35154000</v>
      </c>
      <c r="U246" s="37">
        <f t="shared" si="19"/>
        <v>39372480.00000001</v>
      </c>
      <c r="V246" s="22"/>
      <c r="W246" s="22">
        <v>2013</v>
      </c>
      <c r="X246" s="82"/>
    </row>
    <row r="247" spans="1:24" s="41" customFormat="1" ht="76.5">
      <c r="A247" s="22" t="s">
        <v>81</v>
      </c>
      <c r="B247" s="22" t="s">
        <v>422</v>
      </c>
      <c r="C247" s="417">
        <v>4</v>
      </c>
      <c r="D247" s="417" t="s">
        <v>0</v>
      </c>
      <c r="E247" s="417" t="s">
        <v>1</v>
      </c>
      <c r="F247" s="417" t="s">
        <v>91</v>
      </c>
      <c r="G247" s="23" t="s">
        <v>257</v>
      </c>
      <c r="H247" s="42">
        <v>0</v>
      </c>
      <c r="I247" s="401" t="s">
        <v>98</v>
      </c>
      <c r="J247" s="356" t="s">
        <v>407</v>
      </c>
      <c r="K247" s="22"/>
      <c r="L247" s="15" t="s">
        <v>964</v>
      </c>
      <c r="M247" s="22"/>
      <c r="N247" s="368">
        <f>25200*155</f>
        <v>3906000</v>
      </c>
      <c r="O247" s="368">
        <f>100800*155</f>
        <v>15624000</v>
      </c>
      <c r="P247" s="368">
        <v>15624000</v>
      </c>
      <c r="Q247" s="368">
        <v>15624000</v>
      </c>
      <c r="R247" s="368">
        <v>15624000</v>
      </c>
      <c r="S247" s="37"/>
      <c r="T247" s="392">
        <f>705600*155</f>
        <v>109368000</v>
      </c>
      <c r="U247" s="37">
        <f t="shared" si="19"/>
        <v>122492160.00000001</v>
      </c>
      <c r="V247" s="22"/>
      <c r="W247" s="22">
        <v>2013</v>
      </c>
      <c r="X247" s="82"/>
    </row>
    <row r="248" spans="1:24" s="41" customFormat="1" ht="76.5">
      <c r="A248" s="22" t="s">
        <v>82</v>
      </c>
      <c r="B248" s="22" t="s">
        <v>422</v>
      </c>
      <c r="C248" s="417" t="s">
        <v>980</v>
      </c>
      <c r="D248" s="417" t="s">
        <v>0</v>
      </c>
      <c r="E248" s="417" t="s">
        <v>1</v>
      </c>
      <c r="F248" s="417" t="s">
        <v>92</v>
      </c>
      <c r="G248" s="23" t="s">
        <v>257</v>
      </c>
      <c r="H248" s="42">
        <v>0</v>
      </c>
      <c r="I248" s="401" t="s">
        <v>98</v>
      </c>
      <c r="J248" s="356" t="s">
        <v>407</v>
      </c>
      <c r="K248" s="22"/>
      <c r="L248" s="15" t="s">
        <v>964</v>
      </c>
      <c r="M248" s="22"/>
      <c r="N248" s="368">
        <f>3720*155</f>
        <v>576600</v>
      </c>
      <c r="O248" s="368">
        <f>14880*155</f>
        <v>2306400</v>
      </c>
      <c r="P248" s="368">
        <v>2306400</v>
      </c>
      <c r="Q248" s="368">
        <v>2306400</v>
      </c>
      <c r="R248" s="368">
        <v>2306400</v>
      </c>
      <c r="S248" s="37"/>
      <c r="T248" s="392">
        <f>104160*155</f>
        <v>16144800</v>
      </c>
      <c r="U248" s="37">
        <f t="shared" si="19"/>
        <v>18082176</v>
      </c>
      <c r="V248" s="22"/>
      <c r="W248" s="22">
        <v>2013</v>
      </c>
      <c r="X248" s="82"/>
    </row>
    <row r="249" spans="1:24" s="41" customFormat="1" ht="76.5">
      <c r="A249" s="22" t="s">
        <v>83</v>
      </c>
      <c r="B249" s="22" t="s">
        <v>422</v>
      </c>
      <c r="C249" s="417" t="s">
        <v>980</v>
      </c>
      <c r="D249" s="417" t="s">
        <v>0</v>
      </c>
      <c r="E249" s="417" t="s">
        <v>1</v>
      </c>
      <c r="F249" s="417" t="s">
        <v>93</v>
      </c>
      <c r="G249" s="23" t="s">
        <v>257</v>
      </c>
      <c r="H249" s="42">
        <v>0</v>
      </c>
      <c r="I249" s="401" t="s">
        <v>98</v>
      </c>
      <c r="J249" s="356" t="s">
        <v>407</v>
      </c>
      <c r="K249" s="22"/>
      <c r="L249" s="15" t="s">
        <v>964</v>
      </c>
      <c r="M249" s="22"/>
      <c r="N249" s="368">
        <f>2610*155</f>
        <v>404550</v>
      </c>
      <c r="O249" s="368">
        <f>10440*155</f>
        <v>1618200</v>
      </c>
      <c r="P249" s="368">
        <v>1618200</v>
      </c>
      <c r="Q249" s="368">
        <v>1618200</v>
      </c>
      <c r="R249" s="368">
        <v>1618200</v>
      </c>
      <c r="S249" s="37"/>
      <c r="T249" s="392">
        <f>73080*155</f>
        <v>11327400</v>
      </c>
      <c r="U249" s="37">
        <f t="shared" si="19"/>
        <v>12686688.000000002</v>
      </c>
      <c r="V249" s="22"/>
      <c r="W249" s="22">
        <v>2013</v>
      </c>
      <c r="X249" s="82"/>
    </row>
    <row r="250" spans="1:24" s="41" customFormat="1" ht="76.5">
      <c r="A250" s="22" t="s">
        <v>84</v>
      </c>
      <c r="B250" s="22" t="s">
        <v>422</v>
      </c>
      <c r="C250" s="417" t="s">
        <v>980</v>
      </c>
      <c r="D250" s="417" t="s">
        <v>0</v>
      </c>
      <c r="E250" s="417" t="s">
        <v>1</v>
      </c>
      <c r="F250" s="417" t="s">
        <v>94</v>
      </c>
      <c r="G250" s="23" t="s">
        <v>257</v>
      </c>
      <c r="H250" s="42">
        <v>0</v>
      </c>
      <c r="I250" s="401" t="s">
        <v>98</v>
      </c>
      <c r="J250" s="356" t="s">
        <v>407</v>
      </c>
      <c r="K250" s="22"/>
      <c r="L250" s="15" t="s">
        <v>964</v>
      </c>
      <c r="M250" s="22"/>
      <c r="N250" s="368">
        <f>4860*155</f>
        <v>753300</v>
      </c>
      <c r="O250" s="368">
        <f>19440*155</f>
        <v>3013200</v>
      </c>
      <c r="P250" s="368">
        <v>3013200</v>
      </c>
      <c r="Q250" s="368">
        <v>3013200</v>
      </c>
      <c r="R250" s="368">
        <v>3013200</v>
      </c>
      <c r="S250" s="37"/>
      <c r="T250" s="392">
        <f>136080*155</f>
        <v>21092400</v>
      </c>
      <c r="U250" s="37">
        <f t="shared" si="19"/>
        <v>23623488.000000004</v>
      </c>
      <c r="V250" s="22"/>
      <c r="W250" s="22">
        <v>2013</v>
      </c>
      <c r="X250" s="82"/>
    </row>
    <row r="251" spans="1:24" s="41" customFormat="1" ht="76.5">
      <c r="A251" s="22" t="s">
        <v>85</v>
      </c>
      <c r="B251" s="22" t="s">
        <v>422</v>
      </c>
      <c r="C251" s="417" t="s">
        <v>980</v>
      </c>
      <c r="D251" s="417" t="s">
        <v>0</v>
      </c>
      <c r="E251" s="417" t="s">
        <v>1</v>
      </c>
      <c r="F251" s="417" t="s">
        <v>95</v>
      </c>
      <c r="G251" s="23" t="s">
        <v>257</v>
      </c>
      <c r="H251" s="42">
        <v>0</v>
      </c>
      <c r="I251" s="401" t="s">
        <v>98</v>
      </c>
      <c r="J251" s="356" t="s">
        <v>407</v>
      </c>
      <c r="K251" s="22"/>
      <c r="L251" s="15" t="s">
        <v>964</v>
      </c>
      <c r="M251" s="22"/>
      <c r="N251" s="368">
        <f>60000*155</f>
        <v>9300000</v>
      </c>
      <c r="O251" s="368">
        <f>240000*155</f>
        <v>37200000</v>
      </c>
      <c r="P251" s="368">
        <v>37200000</v>
      </c>
      <c r="Q251" s="368">
        <v>37200000</v>
      </c>
      <c r="R251" s="368">
        <v>37200000</v>
      </c>
      <c r="S251" s="37"/>
      <c r="T251" s="392">
        <f>1680000*155</f>
        <v>260400000</v>
      </c>
      <c r="U251" s="37">
        <f t="shared" si="19"/>
        <v>291648000</v>
      </c>
      <c r="V251" s="22"/>
      <c r="W251" s="22">
        <v>2013</v>
      </c>
      <c r="X251" s="82"/>
    </row>
    <row r="252" spans="1:24" s="41" customFormat="1" ht="76.5">
      <c r="A252" s="22" t="s">
        <v>86</v>
      </c>
      <c r="B252" s="22" t="s">
        <v>422</v>
      </c>
      <c r="C252" s="417" t="s">
        <v>980</v>
      </c>
      <c r="D252" s="417" t="s">
        <v>0</v>
      </c>
      <c r="E252" s="417" t="s">
        <v>1</v>
      </c>
      <c r="F252" s="417" t="s">
        <v>96</v>
      </c>
      <c r="G252" s="23" t="s">
        <v>257</v>
      </c>
      <c r="H252" s="42">
        <v>0</v>
      </c>
      <c r="I252" s="401" t="s">
        <v>98</v>
      </c>
      <c r="J252" s="356" t="s">
        <v>407</v>
      </c>
      <c r="K252" s="22"/>
      <c r="L252" s="15" t="s">
        <v>964</v>
      </c>
      <c r="M252" s="22"/>
      <c r="N252" s="368">
        <f>7605*155</f>
        <v>1178775</v>
      </c>
      <c r="O252" s="368">
        <f>30420*155</f>
        <v>4715100</v>
      </c>
      <c r="P252" s="368">
        <v>4715100</v>
      </c>
      <c r="Q252" s="368">
        <v>4715100</v>
      </c>
      <c r="R252" s="368">
        <v>4715100</v>
      </c>
      <c r="S252" s="37"/>
      <c r="T252" s="392">
        <f>212940*155</f>
        <v>33005700</v>
      </c>
      <c r="U252" s="37">
        <f t="shared" si="19"/>
        <v>36966384</v>
      </c>
      <c r="V252" s="22"/>
      <c r="W252" s="22">
        <v>2013</v>
      </c>
      <c r="X252" s="82"/>
    </row>
    <row r="253" spans="1:24" s="41" customFormat="1" ht="114.75">
      <c r="A253" s="22" t="s">
        <v>87</v>
      </c>
      <c r="B253" s="22" t="s">
        <v>422</v>
      </c>
      <c r="C253" s="417" t="s">
        <v>980</v>
      </c>
      <c r="D253" s="417" t="s">
        <v>0</v>
      </c>
      <c r="E253" s="417" t="s">
        <v>1</v>
      </c>
      <c r="F253" s="417" t="s">
        <v>97</v>
      </c>
      <c r="G253" s="23" t="s">
        <v>257</v>
      </c>
      <c r="H253" s="42">
        <v>0</v>
      </c>
      <c r="I253" s="401" t="s">
        <v>98</v>
      </c>
      <c r="J253" s="356" t="s">
        <v>999</v>
      </c>
      <c r="K253" s="22"/>
      <c r="L253" s="15" t="s">
        <v>964</v>
      </c>
      <c r="M253" s="22"/>
      <c r="N253" s="368">
        <v>840000</v>
      </c>
      <c r="O253" s="368">
        <v>3360000</v>
      </c>
      <c r="P253" s="368">
        <v>3360000</v>
      </c>
      <c r="Q253" s="368">
        <v>3360000</v>
      </c>
      <c r="R253" s="368">
        <v>3360000</v>
      </c>
      <c r="S253" s="37"/>
      <c r="T253" s="392">
        <v>20160000</v>
      </c>
      <c r="U253" s="37">
        <f t="shared" si="19"/>
        <v>22579200.000000004</v>
      </c>
      <c r="V253" s="22"/>
      <c r="W253" s="22">
        <v>2013</v>
      </c>
      <c r="X253" s="82"/>
    </row>
    <row r="254" spans="1:24" s="41" customFormat="1" ht="38.25">
      <c r="A254" s="22" t="s">
        <v>1050</v>
      </c>
      <c r="B254" s="22" t="s">
        <v>422</v>
      </c>
      <c r="C254" s="417" t="s">
        <v>12</v>
      </c>
      <c r="D254" s="417" t="s">
        <v>13</v>
      </c>
      <c r="E254" s="417" t="s">
        <v>14</v>
      </c>
      <c r="F254" s="417" t="s">
        <v>1052</v>
      </c>
      <c r="G254" s="23" t="s">
        <v>257</v>
      </c>
      <c r="H254" s="42">
        <v>0</v>
      </c>
      <c r="I254" s="417" t="s">
        <v>1054</v>
      </c>
      <c r="J254" s="417" t="s">
        <v>1055</v>
      </c>
      <c r="K254" s="22"/>
      <c r="L254" s="15" t="s">
        <v>964</v>
      </c>
      <c r="M254" s="22"/>
      <c r="N254" s="368">
        <v>500000</v>
      </c>
      <c r="O254" s="368">
        <v>3000000</v>
      </c>
      <c r="P254" s="368">
        <v>3000000</v>
      </c>
      <c r="Q254" s="368">
        <v>3000000</v>
      </c>
      <c r="R254" s="368"/>
      <c r="S254" s="37"/>
      <c r="T254" s="392">
        <v>9500000</v>
      </c>
      <c r="U254" s="37">
        <f aca="true" t="shared" si="20" ref="U254:U260">T254*1.12</f>
        <v>10640000.000000002</v>
      </c>
      <c r="V254" s="22"/>
      <c r="W254" s="22">
        <v>2013</v>
      </c>
      <c r="X254" s="82"/>
    </row>
    <row r="255" spans="1:24" s="41" customFormat="1" ht="63.75">
      <c r="A255" s="22" t="s">
        <v>1051</v>
      </c>
      <c r="B255" s="22" t="s">
        <v>422</v>
      </c>
      <c r="C255" s="417" t="s">
        <v>12</v>
      </c>
      <c r="D255" s="417" t="s">
        <v>13</v>
      </c>
      <c r="E255" s="417" t="s">
        <v>14</v>
      </c>
      <c r="F255" s="417" t="s">
        <v>1053</v>
      </c>
      <c r="G255" s="23" t="s">
        <v>257</v>
      </c>
      <c r="H255" s="42">
        <v>0</v>
      </c>
      <c r="I255" s="417" t="s">
        <v>1054</v>
      </c>
      <c r="J255" s="417" t="s">
        <v>1055</v>
      </c>
      <c r="K255" s="22"/>
      <c r="L255" s="15" t="s">
        <v>964</v>
      </c>
      <c r="M255" s="22"/>
      <c r="N255" s="368">
        <v>34220</v>
      </c>
      <c r="O255" s="368">
        <v>205260</v>
      </c>
      <c r="P255" s="368">
        <v>205260</v>
      </c>
      <c r="Q255" s="368">
        <v>205260</v>
      </c>
      <c r="R255" s="368"/>
      <c r="S255" s="37"/>
      <c r="T255" s="392">
        <v>650000</v>
      </c>
      <c r="U255" s="37">
        <f t="shared" si="20"/>
        <v>728000.0000000001</v>
      </c>
      <c r="V255" s="22"/>
      <c r="W255" s="22">
        <v>2013</v>
      </c>
      <c r="X255" s="82"/>
    </row>
    <row r="256" spans="1:24" s="41" customFormat="1" ht="65.25" customHeight="1">
      <c r="A256" s="22" t="s">
        <v>867</v>
      </c>
      <c r="B256" s="22" t="s">
        <v>422</v>
      </c>
      <c r="C256" s="362" t="s">
        <v>599</v>
      </c>
      <c r="D256" s="122" t="s">
        <v>600</v>
      </c>
      <c r="E256" s="122" t="s">
        <v>601</v>
      </c>
      <c r="F256" s="22" t="s">
        <v>547</v>
      </c>
      <c r="G256" s="23" t="s">
        <v>257</v>
      </c>
      <c r="H256" s="22">
        <v>100</v>
      </c>
      <c r="I256" s="39" t="s">
        <v>548</v>
      </c>
      <c r="J256" s="22" t="s">
        <v>549</v>
      </c>
      <c r="K256" s="22"/>
      <c r="L256" s="211" t="s">
        <v>964</v>
      </c>
      <c r="M256" s="62"/>
      <c r="N256" s="62">
        <v>5210753</v>
      </c>
      <c r="O256" s="62">
        <v>5210753</v>
      </c>
      <c r="P256" s="62">
        <v>5210753</v>
      </c>
      <c r="Q256" s="62"/>
      <c r="R256" s="62"/>
      <c r="S256" s="62"/>
      <c r="T256" s="37">
        <f>N256+O256+P256</f>
        <v>15632259</v>
      </c>
      <c r="U256" s="37">
        <f t="shared" si="20"/>
        <v>17508130.080000002</v>
      </c>
      <c r="V256" s="22"/>
      <c r="W256" s="20">
        <v>2013</v>
      </c>
      <c r="X256" s="22"/>
    </row>
    <row r="257" spans="1:24" ht="89.25">
      <c r="A257" s="42" t="s">
        <v>868</v>
      </c>
      <c r="B257" s="42" t="s">
        <v>422</v>
      </c>
      <c r="C257" s="268"/>
      <c r="D257" s="139" t="s">
        <v>593</v>
      </c>
      <c r="E257" s="139" t="s">
        <v>593</v>
      </c>
      <c r="F257" s="228"/>
      <c r="G257" s="291"/>
      <c r="H257" s="139"/>
      <c r="I257" s="229"/>
      <c r="J257" s="201" t="s">
        <v>589</v>
      </c>
      <c r="K257" s="139"/>
      <c r="L257" s="201"/>
      <c r="M257" s="139"/>
      <c r="N257" s="243"/>
      <c r="O257" s="210">
        <f>1121875911-35152684.8</f>
        <v>1086723226.2</v>
      </c>
      <c r="P257" s="243">
        <v>1372071709.5</v>
      </c>
      <c r="Q257" s="230">
        <v>1446390000</v>
      </c>
      <c r="R257" s="230">
        <v>1490940000</v>
      </c>
      <c r="S257" s="231"/>
      <c r="T257" s="231">
        <f>O257+P257+Q257+R257</f>
        <v>5396124935.7</v>
      </c>
      <c r="U257" s="205">
        <f t="shared" si="20"/>
        <v>6043659927.984</v>
      </c>
      <c r="V257" s="139"/>
      <c r="W257" s="139">
        <v>2013</v>
      </c>
      <c r="X257" s="139" t="s">
        <v>1078</v>
      </c>
    </row>
    <row r="258" spans="1:256" s="241" customFormat="1" ht="51">
      <c r="A258" s="15" t="s">
        <v>875</v>
      </c>
      <c r="B258" s="22" t="s">
        <v>422</v>
      </c>
      <c r="C258" s="220" t="s">
        <v>876</v>
      </c>
      <c r="D258" s="15" t="s">
        <v>877</v>
      </c>
      <c r="E258" s="15" t="s">
        <v>877</v>
      </c>
      <c r="F258" s="15" t="s">
        <v>878</v>
      </c>
      <c r="G258" s="292" t="s">
        <v>242</v>
      </c>
      <c r="H258" s="15">
        <v>100</v>
      </c>
      <c r="I258" s="39" t="s">
        <v>879</v>
      </c>
      <c r="J258" s="21" t="s">
        <v>566</v>
      </c>
      <c r="K258" s="15"/>
      <c r="L258" s="23" t="s">
        <v>880</v>
      </c>
      <c r="M258" s="15"/>
      <c r="N258" s="33">
        <v>39000000</v>
      </c>
      <c r="O258" s="33">
        <v>39000000</v>
      </c>
      <c r="P258" s="33">
        <v>39000000</v>
      </c>
      <c r="Q258" s="33">
        <v>39000000</v>
      </c>
      <c r="R258" s="33">
        <v>39000000</v>
      </c>
      <c r="S258" s="33"/>
      <c r="T258" s="33">
        <v>0</v>
      </c>
      <c r="U258" s="37">
        <f t="shared" si="20"/>
        <v>0</v>
      </c>
      <c r="V258" s="15"/>
      <c r="W258" s="15">
        <v>2013</v>
      </c>
      <c r="X258" s="224" t="s">
        <v>810</v>
      </c>
      <c r="Y258" s="240"/>
      <c r="Z258" s="240"/>
      <c r="AA258" s="240"/>
      <c r="AB258" s="240"/>
      <c r="AC258" s="240"/>
      <c r="AD258" s="240"/>
      <c r="AE258" s="240"/>
      <c r="AF258" s="240"/>
      <c r="AG258" s="240"/>
      <c r="AH258" s="240"/>
      <c r="AI258" s="240"/>
      <c r="AJ258" s="240"/>
      <c r="AK258" s="240"/>
      <c r="AL258" s="240"/>
      <c r="AM258" s="240"/>
      <c r="AN258" s="240"/>
      <c r="AO258" s="240"/>
      <c r="AP258" s="240"/>
      <c r="AQ258" s="240"/>
      <c r="AR258" s="240"/>
      <c r="AS258" s="240"/>
      <c r="AT258" s="240"/>
      <c r="AU258" s="240"/>
      <c r="AV258" s="240"/>
      <c r="AW258" s="240"/>
      <c r="AX258" s="240"/>
      <c r="AY258" s="240"/>
      <c r="AZ258" s="240"/>
      <c r="BA258" s="240"/>
      <c r="BB258" s="240"/>
      <c r="BC258" s="240"/>
      <c r="BD258" s="240"/>
      <c r="BE258" s="240"/>
      <c r="BF258" s="240"/>
      <c r="BG258" s="240"/>
      <c r="BH258" s="240"/>
      <c r="BI258" s="240"/>
      <c r="BJ258" s="240"/>
      <c r="BK258" s="240"/>
      <c r="BL258" s="240"/>
      <c r="BM258" s="240"/>
      <c r="BN258" s="240"/>
      <c r="BO258" s="240"/>
      <c r="BP258" s="240"/>
      <c r="BQ258" s="240"/>
      <c r="BR258" s="240"/>
      <c r="BS258" s="240"/>
      <c r="BT258" s="240"/>
      <c r="BU258" s="240"/>
      <c r="BV258" s="240"/>
      <c r="BW258" s="240"/>
      <c r="BX258" s="240"/>
      <c r="BY258" s="240"/>
      <c r="BZ258" s="240"/>
      <c r="CA258" s="240"/>
      <c r="CB258" s="240"/>
      <c r="CC258" s="240"/>
      <c r="CD258" s="240"/>
      <c r="CE258" s="240"/>
      <c r="CF258" s="240"/>
      <c r="CG258" s="240"/>
      <c r="CH258" s="240"/>
      <c r="CI258" s="240"/>
      <c r="CJ258" s="240"/>
      <c r="CK258" s="240"/>
      <c r="CL258" s="240"/>
      <c r="CM258" s="240"/>
      <c r="CN258" s="240"/>
      <c r="CO258" s="240"/>
      <c r="CP258" s="240"/>
      <c r="CQ258" s="240"/>
      <c r="CR258" s="240"/>
      <c r="CS258" s="240"/>
      <c r="CT258" s="240"/>
      <c r="CU258" s="240"/>
      <c r="CV258" s="240"/>
      <c r="CW258" s="240"/>
      <c r="CX258" s="240"/>
      <c r="CY258" s="240"/>
      <c r="CZ258" s="240"/>
      <c r="DA258" s="240"/>
      <c r="DB258" s="240"/>
      <c r="DC258" s="240"/>
      <c r="DD258" s="240"/>
      <c r="DE258" s="240"/>
      <c r="DF258" s="240"/>
      <c r="DG258" s="240"/>
      <c r="DH258" s="240"/>
      <c r="DI258" s="240"/>
      <c r="DJ258" s="240"/>
      <c r="DK258" s="240"/>
      <c r="DL258" s="240"/>
      <c r="DM258" s="240"/>
      <c r="DN258" s="240"/>
      <c r="DO258" s="240"/>
      <c r="DP258" s="240"/>
      <c r="DQ258" s="240"/>
      <c r="DR258" s="240"/>
      <c r="DS258" s="240"/>
      <c r="DT258" s="240"/>
      <c r="DU258" s="240"/>
      <c r="DV258" s="240"/>
      <c r="DW258" s="240"/>
      <c r="DX258" s="240"/>
      <c r="DY258" s="240"/>
      <c r="DZ258" s="240"/>
      <c r="EA258" s="240"/>
      <c r="EB258" s="240"/>
      <c r="EC258" s="240"/>
      <c r="ED258" s="240"/>
      <c r="EE258" s="240"/>
      <c r="EF258" s="240"/>
      <c r="EG258" s="240"/>
      <c r="EH258" s="240"/>
      <c r="EI258" s="240"/>
      <c r="EJ258" s="240"/>
      <c r="EK258" s="240"/>
      <c r="EL258" s="240"/>
      <c r="EM258" s="240"/>
      <c r="EN258" s="240"/>
      <c r="EO258" s="240"/>
      <c r="EP258" s="240"/>
      <c r="EQ258" s="240"/>
      <c r="ER258" s="240"/>
      <c r="ES258" s="240"/>
      <c r="ET258" s="240"/>
      <c r="EU258" s="240"/>
      <c r="EV258" s="240"/>
      <c r="EW258" s="240"/>
      <c r="EX258" s="240"/>
      <c r="EY258" s="240"/>
      <c r="EZ258" s="240"/>
      <c r="FA258" s="240"/>
      <c r="FB258" s="240"/>
      <c r="FC258" s="240"/>
      <c r="FD258" s="240"/>
      <c r="FE258" s="240"/>
      <c r="FF258" s="240"/>
      <c r="FG258" s="240"/>
      <c r="FH258" s="240"/>
      <c r="FI258" s="240"/>
      <c r="FJ258" s="240"/>
      <c r="FK258" s="240"/>
      <c r="FL258" s="240"/>
      <c r="FM258" s="240"/>
      <c r="FN258" s="240"/>
      <c r="FO258" s="240"/>
      <c r="FP258" s="240"/>
      <c r="FQ258" s="240"/>
      <c r="FR258" s="240"/>
      <c r="FS258" s="240"/>
      <c r="FT258" s="240"/>
      <c r="FU258" s="240"/>
      <c r="FV258" s="240"/>
      <c r="FW258" s="240"/>
      <c r="FX258" s="240"/>
      <c r="FY258" s="240"/>
      <c r="FZ258" s="240"/>
      <c r="GA258" s="240"/>
      <c r="GB258" s="240"/>
      <c r="GC258" s="240"/>
      <c r="GD258" s="240"/>
      <c r="GE258" s="240"/>
      <c r="GF258" s="240"/>
      <c r="GG258" s="240"/>
      <c r="GH258" s="240"/>
      <c r="GI258" s="240"/>
      <c r="GJ258" s="240"/>
      <c r="GK258" s="240"/>
      <c r="GL258" s="240"/>
      <c r="GM258" s="240"/>
      <c r="GN258" s="240"/>
      <c r="GO258" s="240"/>
      <c r="GP258" s="240"/>
      <c r="GQ258" s="240"/>
      <c r="GR258" s="240"/>
      <c r="GS258" s="240"/>
      <c r="GT258" s="240"/>
      <c r="GU258" s="240"/>
      <c r="GV258" s="240"/>
      <c r="GW258" s="240"/>
      <c r="GX258" s="240"/>
      <c r="GY258" s="240"/>
      <c r="GZ258" s="240"/>
      <c r="HA258" s="240"/>
      <c r="HB258" s="240"/>
      <c r="HC258" s="240"/>
      <c r="HD258" s="240"/>
      <c r="HE258" s="240"/>
      <c r="HF258" s="240"/>
      <c r="HG258" s="240"/>
      <c r="HH258" s="240"/>
      <c r="HI258" s="240"/>
      <c r="HJ258" s="240"/>
      <c r="HK258" s="240"/>
      <c r="HL258" s="240"/>
      <c r="HM258" s="240"/>
      <c r="HN258" s="240"/>
      <c r="HO258" s="240"/>
      <c r="HP258" s="240"/>
      <c r="HQ258" s="240"/>
      <c r="HR258" s="240"/>
      <c r="HS258" s="240"/>
      <c r="HT258" s="240"/>
      <c r="HU258" s="240"/>
      <c r="HV258" s="240"/>
      <c r="HW258" s="240"/>
      <c r="HX258" s="240"/>
      <c r="HY258" s="240"/>
      <c r="HZ258" s="240"/>
      <c r="IA258" s="240"/>
      <c r="IB258" s="240"/>
      <c r="IC258" s="240"/>
      <c r="ID258" s="240"/>
      <c r="IE258" s="240"/>
      <c r="IF258" s="240"/>
      <c r="IG258" s="240"/>
      <c r="IH258" s="240"/>
      <c r="II258" s="240"/>
      <c r="IJ258" s="240"/>
      <c r="IK258" s="240"/>
      <c r="IL258" s="240"/>
      <c r="IM258" s="240"/>
      <c r="IN258" s="240"/>
      <c r="IO258" s="240"/>
      <c r="IP258" s="240"/>
      <c r="IQ258" s="240"/>
      <c r="IR258" s="240"/>
      <c r="IS258" s="240"/>
      <c r="IT258" s="240"/>
      <c r="IU258" s="240"/>
      <c r="IV258" s="240"/>
    </row>
    <row r="259" spans="1:256" s="241" customFormat="1" ht="51">
      <c r="A259" s="15" t="s">
        <v>808</v>
      </c>
      <c r="B259" s="22" t="s">
        <v>422</v>
      </c>
      <c r="C259" s="268" t="s">
        <v>876</v>
      </c>
      <c r="D259" s="139" t="s">
        <v>877</v>
      </c>
      <c r="E259" s="139" t="s">
        <v>877</v>
      </c>
      <c r="F259" s="139" t="s">
        <v>878</v>
      </c>
      <c r="G259" s="292" t="s">
        <v>242</v>
      </c>
      <c r="H259" s="15">
        <v>100</v>
      </c>
      <c r="I259" s="39" t="s">
        <v>879</v>
      </c>
      <c r="J259" s="21" t="s">
        <v>566</v>
      </c>
      <c r="K259" s="15"/>
      <c r="L259" s="23" t="s">
        <v>880</v>
      </c>
      <c r="M259" s="15"/>
      <c r="N259" s="33">
        <v>38772000</v>
      </c>
      <c r="O259" s="33">
        <v>38772000</v>
      </c>
      <c r="P259" s="33">
        <v>38772000</v>
      </c>
      <c r="Q259" s="33">
        <v>38772000</v>
      </c>
      <c r="R259" s="33">
        <v>38772000</v>
      </c>
      <c r="S259" s="33"/>
      <c r="T259" s="33">
        <f>N259+O259+P259+Q259+R259</f>
        <v>193860000</v>
      </c>
      <c r="U259" s="37">
        <f t="shared" si="20"/>
        <v>217123200.00000003</v>
      </c>
      <c r="V259" s="15"/>
      <c r="W259" s="15">
        <v>2013</v>
      </c>
      <c r="X259" s="242"/>
      <c r="Y259" s="240"/>
      <c r="Z259" s="240"/>
      <c r="AA259" s="240"/>
      <c r="AB259" s="240"/>
      <c r="AC259" s="240"/>
      <c r="AD259" s="240"/>
      <c r="AE259" s="240"/>
      <c r="AF259" s="240"/>
      <c r="AG259" s="240"/>
      <c r="AH259" s="240"/>
      <c r="AI259" s="240"/>
      <c r="AJ259" s="240"/>
      <c r="AK259" s="240"/>
      <c r="AL259" s="240"/>
      <c r="AM259" s="240"/>
      <c r="AN259" s="240"/>
      <c r="AO259" s="240"/>
      <c r="AP259" s="240"/>
      <c r="AQ259" s="240"/>
      <c r="AR259" s="240"/>
      <c r="AS259" s="240"/>
      <c r="AT259" s="240"/>
      <c r="AU259" s="240"/>
      <c r="AV259" s="240"/>
      <c r="AW259" s="240"/>
      <c r="AX259" s="240"/>
      <c r="AY259" s="240"/>
      <c r="AZ259" s="240"/>
      <c r="BA259" s="240"/>
      <c r="BB259" s="240"/>
      <c r="BC259" s="240"/>
      <c r="BD259" s="240"/>
      <c r="BE259" s="240"/>
      <c r="BF259" s="240"/>
      <c r="BG259" s="240"/>
      <c r="BH259" s="240"/>
      <c r="BI259" s="240"/>
      <c r="BJ259" s="240"/>
      <c r="BK259" s="240"/>
      <c r="BL259" s="240"/>
      <c r="BM259" s="240"/>
      <c r="BN259" s="240"/>
      <c r="BO259" s="240"/>
      <c r="BP259" s="240"/>
      <c r="BQ259" s="240"/>
      <c r="BR259" s="240"/>
      <c r="BS259" s="240"/>
      <c r="BT259" s="240"/>
      <c r="BU259" s="240"/>
      <c r="BV259" s="240"/>
      <c r="BW259" s="240"/>
      <c r="BX259" s="240"/>
      <c r="BY259" s="240"/>
      <c r="BZ259" s="240"/>
      <c r="CA259" s="240"/>
      <c r="CB259" s="240"/>
      <c r="CC259" s="240"/>
      <c r="CD259" s="240"/>
      <c r="CE259" s="240"/>
      <c r="CF259" s="240"/>
      <c r="CG259" s="240"/>
      <c r="CH259" s="240"/>
      <c r="CI259" s="240"/>
      <c r="CJ259" s="240"/>
      <c r="CK259" s="240"/>
      <c r="CL259" s="240"/>
      <c r="CM259" s="240"/>
      <c r="CN259" s="240"/>
      <c r="CO259" s="240"/>
      <c r="CP259" s="240"/>
      <c r="CQ259" s="240"/>
      <c r="CR259" s="240"/>
      <c r="CS259" s="240"/>
      <c r="CT259" s="240"/>
      <c r="CU259" s="240"/>
      <c r="CV259" s="240"/>
      <c r="CW259" s="240"/>
      <c r="CX259" s="240"/>
      <c r="CY259" s="240"/>
      <c r="CZ259" s="240"/>
      <c r="DA259" s="240"/>
      <c r="DB259" s="240"/>
      <c r="DC259" s="240"/>
      <c r="DD259" s="240"/>
      <c r="DE259" s="240"/>
      <c r="DF259" s="240"/>
      <c r="DG259" s="240"/>
      <c r="DH259" s="240"/>
      <c r="DI259" s="240"/>
      <c r="DJ259" s="240"/>
      <c r="DK259" s="240"/>
      <c r="DL259" s="240"/>
      <c r="DM259" s="240"/>
      <c r="DN259" s="240"/>
      <c r="DO259" s="240"/>
      <c r="DP259" s="240"/>
      <c r="DQ259" s="240"/>
      <c r="DR259" s="240"/>
      <c r="DS259" s="240"/>
      <c r="DT259" s="240"/>
      <c r="DU259" s="240"/>
      <c r="DV259" s="240"/>
      <c r="DW259" s="240"/>
      <c r="DX259" s="240"/>
      <c r="DY259" s="240"/>
      <c r="DZ259" s="240"/>
      <c r="EA259" s="240"/>
      <c r="EB259" s="240"/>
      <c r="EC259" s="240"/>
      <c r="ED259" s="240"/>
      <c r="EE259" s="240"/>
      <c r="EF259" s="240"/>
      <c r="EG259" s="240"/>
      <c r="EH259" s="240"/>
      <c r="EI259" s="240"/>
      <c r="EJ259" s="240"/>
      <c r="EK259" s="240"/>
      <c r="EL259" s="240"/>
      <c r="EM259" s="240"/>
      <c r="EN259" s="240"/>
      <c r="EO259" s="240"/>
      <c r="EP259" s="240"/>
      <c r="EQ259" s="240"/>
      <c r="ER259" s="240"/>
      <c r="ES259" s="240"/>
      <c r="ET259" s="240"/>
      <c r="EU259" s="240"/>
      <c r="EV259" s="240"/>
      <c r="EW259" s="240"/>
      <c r="EX259" s="240"/>
      <c r="EY259" s="240"/>
      <c r="EZ259" s="240"/>
      <c r="FA259" s="240"/>
      <c r="FB259" s="240"/>
      <c r="FC259" s="240"/>
      <c r="FD259" s="240"/>
      <c r="FE259" s="240"/>
      <c r="FF259" s="240"/>
      <c r="FG259" s="240"/>
      <c r="FH259" s="240"/>
      <c r="FI259" s="240"/>
      <c r="FJ259" s="240"/>
      <c r="FK259" s="240"/>
      <c r="FL259" s="240"/>
      <c r="FM259" s="240"/>
      <c r="FN259" s="240"/>
      <c r="FO259" s="240"/>
      <c r="FP259" s="240"/>
      <c r="FQ259" s="240"/>
      <c r="FR259" s="240"/>
      <c r="FS259" s="240"/>
      <c r="FT259" s="240"/>
      <c r="FU259" s="240"/>
      <c r="FV259" s="240"/>
      <c r="FW259" s="240"/>
      <c r="FX259" s="240"/>
      <c r="FY259" s="240"/>
      <c r="FZ259" s="240"/>
      <c r="GA259" s="240"/>
      <c r="GB259" s="240"/>
      <c r="GC259" s="240"/>
      <c r="GD259" s="240"/>
      <c r="GE259" s="240"/>
      <c r="GF259" s="240"/>
      <c r="GG259" s="240"/>
      <c r="GH259" s="240"/>
      <c r="GI259" s="240"/>
      <c r="GJ259" s="240"/>
      <c r="GK259" s="240"/>
      <c r="GL259" s="240"/>
      <c r="GM259" s="240"/>
      <c r="GN259" s="240"/>
      <c r="GO259" s="240"/>
      <c r="GP259" s="240"/>
      <c r="GQ259" s="240"/>
      <c r="GR259" s="240"/>
      <c r="GS259" s="240"/>
      <c r="GT259" s="240"/>
      <c r="GU259" s="240"/>
      <c r="GV259" s="240"/>
      <c r="GW259" s="240"/>
      <c r="GX259" s="240"/>
      <c r="GY259" s="240"/>
      <c r="GZ259" s="240"/>
      <c r="HA259" s="240"/>
      <c r="HB259" s="240"/>
      <c r="HC259" s="240"/>
      <c r="HD259" s="240"/>
      <c r="HE259" s="240"/>
      <c r="HF259" s="240"/>
      <c r="HG259" s="240"/>
      <c r="HH259" s="240"/>
      <c r="HI259" s="240"/>
      <c r="HJ259" s="240"/>
      <c r="HK259" s="240"/>
      <c r="HL259" s="240"/>
      <c r="HM259" s="240"/>
      <c r="HN259" s="240"/>
      <c r="HO259" s="240"/>
      <c r="HP259" s="240"/>
      <c r="HQ259" s="240"/>
      <c r="HR259" s="240"/>
      <c r="HS259" s="240"/>
      <c r="HT259" s="240"/>
      <c r="HU259" s="240"/>
      <c r="HV259" s="240"/>
      <c r="HW259" s="240"/>
      <c r="HX259" s="240"/>
      <c r="HY259" s="240"/>
      <c r="HZ259" s="240"/>
      <c r="IA259" s="240"/>
      <c r="IB259" s="240"/>
      <c r="IC259" s="240"/>
      <c r="ID259" s="240"/>
      <c r="IE259" s="240"/>
      <c r="IF259" s="240"/>
      <c r="IG259" s="240"/>
      <c r="IH259" s="240"/>
      <c r="II259" s="240"/>
      <c r="IJ259" s="240"/>
      <c r="IK259" s="240"/>
      <c r="IL259" s="240"/>
      <c r="IM259" s="240"/>
      <c r="IN259" s="240"/>
      <c r="IO259" s="240"/>
      <c r="IP259" s="240"/>
      <c r="IQ259" s="240"/>
      <c r="IR259" s="240"/>
      <c r="IS259" s="240"/>
      <c r="IT259" s="240"/>
      <c r="IU259" s="240"/>
      <c r="IV259" s="240"/>
    </row>
    <row r="260" spans="1:256" s="241" customFormat="1" ht="76.5">
      <c r="A260" s="15" t="s">
        <v>809</v>
      </c>
      <c r="B260" s="87" t="s">
        <v>422</v>
      </c>
      <c r="C260" s="15" t="s">
        <v>811</v>
      </c>
      <c r="D260" s="15" t="s">
        <v>812</v>
      </c>
      <c r="E260" s="15" t="s">
        <v>813</v>
      </c>
      <c r="F260" s="400" t="s">
        <v>814</v>
      </c>
      <c r="G260" s="292" t="s">
        <v>257</v>
      </c>
      <c r="H260" s="15">
        <v>100</v>
      </c>
      <c r="I260" s="39" t="s">
        <v>879</v>
      </c>
      <c r="J260" s="21" t="s">
        <v>566</v>
      </c>
      <c r="K260" s="15"/>
      <c r="L260" s="23" t="s">
        <v>815</v>
      </c>
      <c r="M260" s="15"/>
      <c r="N260" s="33">
        <v>228000</v>
      </c>
      <c r="O260" s="33">
        <v>228000</v>
      </c>
      <c r="P260" s="33">
        <v>228000</v>
      </c>
      <c r="Q260" s="33">
        <v>228000</v>
      </c>
      <c r="R260" s="33">
        <v>228000</v>
      </c>
      <c r="S260" s="33"/>
      <c r="T260" s="33">
        <f>N260+O260+P260+Q260+R260</f>
        <v>1140000</v>
      </c>
      <c r="U260" s="37">
        <f t="shared" si="20"/>
        <v>1276800.0000000002</v>
      </c>
      <c r="V260" s="15"/>
      <c r="W260" s="15">
        <v>2013</v>
      </c>
      <c r="X260" s="242"/>
      <c r="Y260" s="240"/>
      <c r="Z260" s="240"/>
      <c r="AA260" s="240"/>
      <c r="AB260" s="240"/>
      <c r="AC260" s="240"/>
      <c r="AD260" s="240"/>
      <c r="AE260" s="240"/>
      <c r="AF260" s="240"/>
      <c r="AG260" s="240"/>
      <c r="AH260" s="240"/>
      <c r="AI260" s="240"/>
      <c r="AJ260" s="240"/>
      <c r="AK260" s="240"/>
      <c r="AL260" s="240"/>
      <c r="AM260" s="240"/>
      <c r="AN260" s="240"/>
      <c r="AO260" s="240"/>
      <c r="AP260" s="240"/>
      <c r="AQ260" s="240"/>
      <c r="AR260" s="240"/>
      <c r="AS260" s="240"/>
      <c r="AT260" s="240"/>
      <c r="AU260" s="240"/>
      <c r="AV260" s="240"/>
      <c r="AW260" s="240"/>
      <c r="AX260" s="240"/>
      <c r="AY260" s="240"/>
      <c r="AZ260" s="240"/>
      <c r="BA260" s="240"/>
      <c r="BB260" s="240"/>
      <c r="BC260" s="240"/>
      <c r="BD260" s="240"/>
      <c r="BE260" s="240"/>
      <c r="BF260" s="240"/>
      <c r="BG260" s="240"/>
      <c r="BH260" s="240"/>
      <c r="BI260" s="240"/>
      <c r="BJ260" s="240"/>
      <c r="BK260" s="240"/>
      <c r="BL260" s="240"/>
      <c r="BM260" s="240"/>
      <c r="BN260" s="240"/>
      <c r="BO260" s="240"/>
      <c r="BP260" s="240"/>
      <c r="BQ260" s="240"/>
      <c r="BR260" s="240"/>
      <c r="BS260" s="240"/>
      <c r="BT260" s="240"/>
      <c r="BU260" s="240"/>
      <c r="BV260" s="240"/>
      <c r="BW260" s="240"/>
      <c r="BX260" s="240"/>
      <c r="BY260" s="240"/>
      <c r="BZ260" s="240"/>
      <c r="CA260" s="240"/>
      <c r="CB260" s="240"/>
      <c r="CC260" s="240"/>
      <c r="CD260" s="240"/>
      <c r="CE260" s="240"/>
      <c r="CF260" s="240"/>
      <c r="CG260" s="240"/>
      <c r="CH260" s="240"/>
      <c r="CI260" s="240"/>
      <c r="CJ260" s="240"/>
      <c r="CK260" s="240"/>
      <c r="CL260" s="240"/>
      <c r="CM260" s="240"/>
      <c r="CN260" s="240"/>
      <c r="CO260" s="240"/>
      <c r="CP260" s="240"/>
      <c r="CQ260" s="240"/>
      <c r="CR260" s="240"/>
      <c r="CS260" s="240"/>
      <c r="CT260" s="240"/>
      <c r="CU260" s="240"/>
      <c r="CV260" s="240"/>
      <c r="CW260" s="240"/>
      <c r="CX260" s="240"/>
      <c r="CY260" s="240"/>
      <c r="CZ260" s="240"/>
      <c r="DA260" s="240"/>
      <c r="DB260" s="240"/>
      <c r="DC260" s="240"/>
      <c r="DD260" s="240"/>
      <c r="DE260" s="240"/>
      <c r="DF260" s="240"/>
      <c r="DG260" s="240"/>
      <c r="DH260" s="240"/>
      <c r="DI260" s="240"/>
      <c r="DJ260" s="240"/>
      <c r="DK260" s="240"/>
      <c r="DL260" s="240"/>
      <c r="DM260" s="240"/>
      <c r="DN260" s="240"/>
      <c r="DO260" s="240"/>
      <c r="DP260" s="240"/>
      <c r="DQ260" s="240"/>
      <c r="DR260" s="240"/>
      <c r="DS260" s="240"/>
      <c r="DT260" s="240"/>
      <c r="DU260" s="240"/>
      <c r="DV260" s="240"/>
      <c r="DW260" s="240"/>
      <c r="DX260" s="240"/>
      <c r="DY260" s="240"/>
      <c r="DZ260" s="240"/>
      <c r="EA260" s="240"/>
      <c r="EB260" s="240"/>
      <c r="EC260" s="240"/>
      <c r="ED260" s="240"/>
      <c r="EE260" s="240"/>
      <c r="EF260" s="240"/>
      <c r="EG260" s="240"/>
      <c r="EH260" s="240"/>
      <c r="EI260" s="240"/>
      <c r="EJ260" s="240"/>
      <c r="EK260" s="240"/>
      <c r="EL260" s="240"/>
      <c r="EM260" s="240"/>
      <c r="EN260" s="240"/>
      <c r="EO260" s="240"/>
      <c r="EP260" s="240"/>
      <c r="EQ260" s="240"/>
      <c r="ER260" s="240"/>
      <c r="ES260" s="240"/>
      <c r="ET260" s="240"/>
      <c r="EU260" s="240"/>
      <c r="EV260" s="240"/>
      <c r="EW260" s="240"/>
      <c r="EX260" s="240"/>
      <c r="EY260" s="240"/>
      <c r="EZ260" s="240"/>
      <c r="FA260" s="240"/>
      <c r="FB260" s="240"/>
      <c r="FC260" s="240"/>
      <c r="FD260" s="240"/>
      <c r="FE260" s="240"/>
      <c r="FF260" s="240"/>
      <c r="FG260" s="240"/>
      <c r="FH260" s="240"/>
      <c r="FI260" s="240"/>
      <c r="FJ260" s="240"/>
      <c r="FK260" s="240"/>
      <c r="FL260" s="240"/>
      <c r="FM260" s="240"/>
      <c r="FN260" s="240"/>
      <c r="FO260" s="240"/>
      <c r="FP260" s="240"/>
      <c r="FQ260" s="240"/>
      <c r="FR260" s="240"/>
      <c r="FS260" s="240"/>
      <c r="FT260" s="240"/>
      <c r="FU260" s="240"/>
      <c r="FV260" s="240"/>
      <c r="FW260" s="240"/>
      <c r="FX260" s="240"/>
      <c r="FY260" s="240"/>
      <c r="FZ260" s="240"/>
      <c r="GA260" s="240"/>
      <c r="GB260" s="240"/>
      <c r="GC260" s="240"/>
      <c r="GD260" s="240"/>
      <c r="GE260" s="240"/>
      <c r="GF260" s="240"/>
      <c r="GG260" s="240"/>
      <c r="GH260" s="240"/>
      <c r="GI260" s="240"/>
      <c r="GJ260" s="240"/>
      <c r="GK260" s="240"/>
      <c r="GL260" s="240"/>
      <c r="GM260" s="240"/>
      <c r="GN260" s="240"/>
      <c r="GO260" s="240"/>
      <c r="GP260" s="240"/>
      <c r="GQ260" s="240"/>
      <c r="GR260" s="240"/>
      <c r="GS260" s="240"/>
      <c r="GT260" s="240"/>
      <c r="GU260" s="240"/>
      <c r="GV260" s="240"/>
      <c r="GW260" s="240"/>
      <c r="GX260" s="240"/>
      <c r="GY260" s="240"/>
      <c r="GZ260" s="240"/>
      <c r="HA260" s="240"/>
      <c r="HB260" s="240"/>
      <c r="HC260" s="240"/>
      <c r="HD260" s="240"/>
      <c r="HE260" s="240"/>
      <c r="HF260" s="240"/>
      <c r="HG260" s="240"/>
      <c r="HH260" s="240"/>
      <c r="HI260" s="240"/>
      <c r="HJ260" s="240"/>
      <c r="HK260" s="240"/>
      <c r="HL260" s="240"/>
      <c r="HM260" s="240"/>
      <c r="HN260" s="240"/>
      <c r="HO260" s="240"/>
      <c r="HP260" s="240"/>
      <c r="HQ260" s="240"/>
      <c r="HR260" s="240"/>
      <c r="HS260" s="240"/>
      <c r="HT260" s="240"/>
      <c r="HU260" s="240"/>
      <c r="HV260" s="240"/>
      <c r="HW260" s="240"/>
      <c r="HX260" s="240"/>
      <c r="HY260" s="240"/>
      <c r="HZ260" s="240"/>
      <c r="IA260" s="240"/>
      <c r="IB260" s="240"/>
      <c r="IC260" s="240"/>
      <c r="ID260" s="240"/>
      <c r="IE260" s="240"/>
      <c r="IF260" s="240"/>
      <c r="IG260" s="240"/>
      <c r="IH260" s="240"/>
      <c r="II260" s="240"/>
      <c r="IJ260" s="240"/>
      <c r="IK260" s="240"/>
      <c r="IL260" s="240"/>
      <c r="IM260" s="240"/>
      <c r="IN260" s="240"/>
      <c r="IO260" s="240"/>
      <c r="IP260" s="240"/>
      <c r="IQ260" s="240"/>
      <c r="IR260" s="240"/>
      <c r="IS260" s="240"/>
      <c r="IT260" s="240"/>
      <c r="IU260" s="240"/>
      <c r="IV260" s="240"/>
    </row>
    <row r="261" spans="1:256" s="241" customFormat="1" ht="63.75">
      <c r="A261" s="15" t="s">
        <v>650</v>
      </c>
      <c r="B261" s="87" t="s">
        <v>422</v>
      </c>
      <c r="C261" s="15" t="s">
        <v>651</v>
      </c>
      <c r="D261" s="17" t="s">
        <v>652</v>
      </c>
      <c r="E261" s="17" t="s">
        <v>653</v>
      </c>
      <c r="F261" s="17" t="s">
        <v>654</v>
      </c>
      <c r="G261" s="292" t="s">
        <v>257</v>
      </c>
      <c r="H261" s="15">
        <v>100</v>
      </c>
      <c r="I261" s="39" t="s">
        <v>633</v>
      </c>
      <c r="J261" s="406" t="s">
        <v>655</v>
      </c>
      <c r="K261" s="15"/>
      <c r="L261" s="211" t="s">
        <v>964</v>
      </c>
      <c r="M261" s="15"/>
      <c r="N261" s="33">
        <v>68290.5</v>
      </c>
      <c r="O261" s="33">
        <v>136581</v>
      </c>
      <c r="P261" s="33">
        <v>136581</v>
      </c>
      <c r="Q261" s="33"/>
      <c r="R261" s="33"/>
      <c r="S261" s="33"/>
      <c r="T261" s="33">
        <f>N261+O261+P261+Q261+R261</f>
        <v>341452.5</v>
      </c>
      <c r="U261" s="37">
        <f aca="true" t="shared" si="21" ref="U261:U267">T261*1.12</f>
        <v>382426.80000000005</v>
      </c>
      <c r="V261" s="15"/>
      <c r="W261" s="15">
        <v>2013</v>
      </c>
      <c r="X261" s="242"/>
      <c r="Y261" s="240"/>
      <c r="Z261" s="240"/>
      <c r="AA261" s="240"/>
      <c r="AB261" s="240"/>
      <c r="AC261" s="240"/>
      <c r="AD261" s="240"/>
      <c r="AE261" s="240"/>
      <c r="AF261" s="240"/>
      <c r="AG261" s="240"/>
      <c r="AH261" s="240"/>
      <c r="AI261" s="240"/>
      <c r="AJ261" s="240"/>
      <c r="AK261" s="240"/>
      <c r="AL261" s="240"/>
      <c r="AM261" s="240"/>
      <c r="AN261" s="240"/>
      <c r="AO261" s="240"/>
      <c r="AP261" s="240"/>
      <c r="AQ261" s="240"/>
      <c r="AR261" s="240"/>
      <c r="AS261" s="240"/>
      <c r="AT261" s="240"/>
      <c r="AU261" s="240"/>
      <c r="AV261" s="240"/>
      <c r="AW261" s="240"/>
      <c r="AX261" s="240"/>
      <c r="AY261" s="240"/>
      <c r="AZ261" s="240"/>
      <c r="BA261" s="240"/>
      <c r="BB261" s="240"/>
      <c r="BC261" s="240"/>
      <c r="BD261" s="240"/>
      <c r="BE261" s="240"/>
      <c r="BF261" s="240"/>
      <c r="BG261" s="240"/>
      <c r="BH261" s="240"/>
      <c r="BI261" s="240"/>
      <c r="BJ261" s="240"/>
      <c r="BK261" s="240"/>
      <c r="BL261" s="240"/>
      <c r="BM261" s="240"/>
      <c r="BN261" s="240"/>
      <c r="BO261" s="240"/>
      <c r="BP261" s="240"/>
      <c r="BQ261" s="240"/>
      <c r="BR261" s="240"/>
      <c r="BS261" s="240"/>
      <c r="BT261" s="240"/>
      <c r="BU261" s="240"/>
      <c r="BV261" s="240"/>
      <c r="BW261" s="240"/>
      <c r="BX261" s="240"/>
      <c r="BY261" s="240"/>
      <c r="BZ261" s="240"/>
      <c r="CA261" s="240"/>
      <c r="CB261" s="240"/>
      <c r="CC261" s="240"/>
      <c r="CD261" s="240"/>
      <c r="CE261" s="240"/>
      <c r="CF261" s="240"/>
      <c r="CG261" s="240"/>
      <c r="CH261" s="240"/>
      <c r="CI261" s="240"/>
      <c r="CJ261" s="240"/>
      <c r="CK261" s="240"/>
      <c r="CL261" s="240"/>
      <c r="CM261" s="240"/>
      <c r="CN261" s="240"/>
      <c r="CO261" s="240"/>
      <c r="CP261" s="240"/>
      <c r="CQ261" s="240"/>
      <c r="CR261" s="240"/>
      <c r="CS261" s="240"/>
      <c r="CT261" s="240"/>
      <c r="CU261" s="240"/>
      <c r="CV261" s="240"/>
      <c r="CW261" s="240"/>
      <c r="CX261" s="240"/>
      <c r="CY261" s="240"/>
      <c r="CZ261" s="240"/>
      <c r="DA261" s="240"/>
      <c r="DB261" s="240"/>
      <c r="DC261" s="240"/>
      <c r="DD261" s="240"/>
      <c r="DE261" s="240"/>
      <c r="DF261" s="240"/>
      <c r="DG261" s="240"/>
      <c r="DH261" s="240"/>
      <c r="DI261" s="240"/>
      <c r="DJ261" s="240"/>
      <c r="DK261" s="240"/>
      <c r="DL261" s="240"/>
      <c r="DM261" s="240"/>
      <c r="DN261" s="240"/>
      <c r="DO261" s="240"/>
      <c r="DP261" s="240"/>
      <c r="DQ261" s="240"/>
      <c r="DR261" s="240"/>
      <c r="DS261" s="240"/>
      <c r="DT261" s="240"/>
      <c r="DU261" s="240"/>
      <c r="DV261" s="240"/>
      <c r="DW261" s="240"/>
      <c r="DX261" s="240"/>
      <c r="DY261" s="240"/>
      <c r="DZ261" s="240"/>
      <c r="EA261" s="240"/>
      <c r="EB261" s="240"/>
      <c r="EC261" s="240"/>
      <c r="ED261" s="240"/>
      <c r="EE261" s="240"/>
      <c r="EF261" s="240"/>
      <c r="EG261" s="240"/>
      <c r="EH261" s="240"/>
      <c r="EI261" s="240"/>
      <c r="EJ261" s="240"/>
      <c r="EK261" s="240"/>
      <c r="EL261" s="240"/>
      <c r="EM261" s="240"/>
      <c r="EN261" s="240"/>
      <c r="EO261" s="240"/>
      <c r="EP261" s="240"/>
      <c r="EQ261" s="240"/>
      <c r="ER261" s="240"/>
      <c r="ES261" s="240"/>
      <c r="ET261" s="240"/>
      <c r="EU261" s="240"/>
      <c r="EV261" s="240"/>
      <c r="EW261" s="240"/>
      <c r="EX261" s="240"/>
      <c r="EY261" s="240"/>
      <c r="EZ261" s="240"/>
      <c r="FA261" s="240"/>
      <c r="FB261" s="240"/>
      <c r="FC261" s="240"/>
      <c r="FD261" s="240"/>
      <c r="FE261" s="240"/>
      <c r="FF261" s="240"/>
      <c r="FG261" s="240"/>
      <c r="FH261" s="240"/>
      <c r="FI261" s="240"/>
      <c r="FJ261" s="240"/>
      <c r="FK261" s="240"/>
      <c r="FL261" s="240"/>
      <c r="FM261" s="240"/>
      <c r="FN261" s="240"/>
      <c r="FO261" s="240"/>
      <c r="FP261" s="240"/>
      <c r="FQ261" s="240"/>
      <c r="FR261" s="240"/>
      <c r="FS261" s="240"/>
      <c r="FT261" s="240"/>
      <c r="FU261" s="240"/>
      <c r="FV261" s="240"/>
      <c r="FW261" s="240"/>
      <c r="FX261" s="240"/>
      <c r="FY261" s="240"/>
      <c r="FZ261" s="240"/>
      <c r="GA261" s="240"/>
      <c r="GB261" s="240"/>
      <c r="GC261" s="240"/>
      <c r="GD261" s="240"/>
      <c r="GE261" s="240"/>
      <c r="GF261" s="240"/>
      <c r="GG261" s="240"/>
      <c r="GH261" s="240"/>
      <c r="GI261" s="240"/>
      <c r="GJ261" s="240"/>
      <c r="GK261" s="240"/>
      <c r="GL261" s="240"/>
      <c r="GM261" s="240"/>
      <c r="GN261" s="240"/>
      <c r="GO261" s="240"/>
      <c r="GP261" s="240"/>
      <c r="GQ261" s="240"/>
      <c r="GR261" s="240"/>
      <c r="GS261" s="240"/>
      <c r="GT261" s="240"/>
      <c r="GU261" s="240"/>
      <c r="GV261" s="240"/>
      <c r="GW261" s="240"/>
      <c r="GX261" s="240"/>
      <c r="GY261" s="240"/>
      <c r="GZ261" s="240"/>
      <c r="HA261" s="240"/>
      <c r="HB261" s="240"/>
      <c r="HC261" s="240"/>
      <c r="HD261" s="240"/>
      <c r="HE261" s="240"/>
      <c r="HF261" s="240"/>
      <c r="HG261" s="240"/>
      <c r="HH261" s="240"/>
      <c r="HI261" s="240"/>
      <c r="HJ261" s="240"/>
      <c r="HK261" s="240"/>
      <c r="HL261" s="240"/>
      <c r="HM261" s="240"/>
      <c r="HN261" s="240"/>
      <c r="HO261" s="240"/>
      <c r="HP261" s="240"/>
      <c r="HQ261" s="240"/>
      <c r="HR261" s="240"/>
      <c r="HS261" s="240"/>
      <c r="HT261" s="240"/>
      <c r="HU261" s="240"/>
      <c r="HV261" s="240"/>
      <c r="HW261" s="240"/>
      <c r="HX261" s="240"/>
      <c r="HY261" s="240"/>
      <c r="HZ261" s="240"/>
      <c r="IA261" s="240"/>
      <c r="IB261" s="240"/>
      <c r="IC261" s="240"/>
      <c r="ID261" s="240"/>
      <c r="IE261" s="240"/>
      <c r="IF261" s="240"/>
      <c r="IG261" s="240"/>
      <c r="IH261" s="240"/>
      <c r="II261" s="240"/>
      <c r="IJ261" s="240"/>
      <c r="IK261" s="240"/>
      <c r="IL261" s="240"/>
      <c r="IM261" s="240"/>
      <c r="IN261" s="240"/>
      <c r="IO261" s="240"/>
      <c r="IP261" s="240"/>
      <c r="IQ261" s="240"/>
      <c r="IR261" s="240"/>
      <c r="IS261" s="240"/>
      <c r="IT261" s="240"/>
      <c r="IU261" s="240"/>
      <c r="IV261" s="240"/>
    </row>
    <row r="262" spans="1:256" s="241" customFormat="1" ht="25.5">
      <c r="A262" s="15" t="s">
        <v>391</v>
      </c>
      <c r="B262" s="87" t="s">
        <v>422</v>
      </c>
      <c r="C262" s="15" t="s">
        <v>392</v>
      </c>
      <c r="D262" s="15" t="s">
        <v>393</v>
      </c>
      <c r="E262" s="15" t="s">
        <v>393</v>
      </c>
      <c r="F262" s="15" t="s">
        <v>393</v>
      </c>
      <c r="G262" s="292" t="s">
        <v>242</v>
      </c>
      <c r="H262" s="15">
        <v>100</v>
      </c>
      <c r="I262" s="419" t="s">
        <v>394</v>
      </c>
      <c r="J262" s="418" t="s">
        <v>407</v>
      </c>
      <c r="K262" s="15"/>
      <c r="L262" s="211" t="s">
        <v>964</v>
      </c>
      <c r="M262" s="15"/>
      <c r="N262" s="351">
        <v>18570600</v>
      </c>
      <c r="O262" s="351">
        <v>74282400</v>
      </c>
      <c r="P262" s="33"/>
      <c r="Q262" s="33"/>
      <c r="R262" s="33"/>
      <c r="S262" s="33"/>
      <c r="T262" s="33">
        <f>N262+O262+P262+Q262+R262</f>
        <v>92853000</v>
      </c>
      <c r="U262" s="37">
        <f t="shared" si="21"/>
        <v>103995360.00000001</v>
      </c>
      <c r="V262" s="15"/>
      <c r="W262" s="15">
        <v>2013</v>
      </c>
      <c r="X262" s="242"/>
      <c r="Y262" s="240"/>
      <c r="Z262" s="240"/>
      <c r="AA262" s="240"/>
      <c r="AB262" s="240"/>
      <c r="AC262" s="240"/>
      <c r="AD262" s="240"/>
      <c r="AE262" s="240"/>
      <c r="AF262" s="240"/>
      <c r="AG262" s="240"/>
      <c r="AH262" s="240"/>
      <c r="AI262" s="240"/>
      <c r="AJ262" s="240"/>
      <c r="AK262" s="240"/>
      <c r="AL262" s="240"/>
      <c r="AM262" s="240"/>
      <c r="AN262" s="240"/>
      <c r="AO262" s="240"/>
      <c r="AP262" s="240"/>
      <c r="AQ262" s="240"/>
      <c r="AR262" s="240"/>
      <c r="AS262" s="240"/>
      <c r="AT262" s="240"/>
      <c r="AU262" s="240"/>
      <c r="AV262" s="240"/>
      <c r="AW262" s="240"/>
      <c r="AX262" s="240"/>
      <c r="AY262" s="240"/>
      <c r="AZ262" s="240"/>
      <c r="BA262" s="240"/>
      <c r="BB262" s="240"/>
      <c r="BC262" s="240"/>
      <c r="BD262" s="240"/>
      <c r="BE262" s="240"/>
      <c r="BF262" s="240"/>
      <c r="BG262" s="240"/>
      <c r="BH262" s="240"/>
      <c r="BI262" s="240"/>
      <c r="BJ262" s="240"/>
      <c r="BK262" s="240"/>
      <c r="BL262" s="240"/>
      <c r="BM262" s="240"/>
      <c r="BN262" s="240"/>
      <c r="BO262" s="240"/>
      <c r="BP262" s="240"/>
      <c r="BQ262" s="240"/>
      <c r="BR262" s="240"/>
      <c r="BS262" s="240"/>
      <c r="BT262" s="240"/>
      <c r="BU262" s="240"/>
      <c r="BV262" s="240"/>
      <c r="BW262" s="240"/>
      <c r="BX262" s="240"/>
      <c r="BY262" s="240"/>
      <c r="BZ262" s="240"/>
      <c r="CA262" s="240"/>
      <c r="CB262" s="240"/>
      <c r="CC262" s="240"/>
      <c r="CD262" s="240"/>
      <c r="CE262" s="240"/>
      <c r="CF262" s="240"/>
      <c r="CG262" s="240"/>
      <c r="CH262" s="240"/>
      <c r="CI262" s="240"/>
      <c r="CJ262" s="240"/>
      <c r="CK262" s="240"/>
      <c r="CL262" s="240"/>
      <c r="CM262" s="240"/>
      <c r="CN262" s="240"/>
      <c r="CO262" s="240"/>
      <c r="CP262" s="240"/>
      <c r="CQ262" s="240"/>
      <c r="CR262" s="240"/>
      <c r="CS262" s="240"/>
      <c r="CT262" s="240"/>
      <c r="CU262" s="240"/>
      <c r="CV262" s="240"/>
      <c r="CW262" s="240"/>
      <c r="CX262" s="240"/>
      <c r="CY262" s="240"/>
      <c r="CZ262" s="240"/>
      <c r="DA262" s="240"/>
      <c r="DB262" s="240"/>
      <c r="DC262" s="240"/>
      <c r="DD262" s="240"/>
      <c r="DE262" s="240"/>
      <c r="DF262" s="240"/>
      <c r="DG262" s="240"/>
      <c r="DH262" s="240"/>
      <c r="DI262" s="240"/>
      <c r="DJ262" s="240"/>
      <c r="DK262" s="240"/>
      <c r="DL262" s="240"/>
      <c r="DM262" s="240"/>
      <c r="DN262" s="240"/>
      <c r="DO262" s="240"/>
      <c r="DP262" s="240"/>
      <c r="DQ262" s="240"/>
      <c r="DR262" s="240"/>
      <c r="DS262" s="240"/>
      <c r="DT262" s="240"/>
      <c r="DU262" s="240"/>
      <c r="DV262" s="240"/>
      <c r="DW262" s="240"/>
      <c r="DX262" s="240"/>
      <c r="DY262" s="240"/>
      <c r="DZ262" s="240"/>
      <c r="EA262" s="240"/>
      <c r="EB262" s="240"/>
      <c r="EC262" s="240"/>
      <c r="ED262" s="240"/>
      <c r="EE262" s="240"/>
      <c r="EF262" s="240"/>
      <c r="EG262" s="240"/>
      <c r="EH262" s="240"/>
      <c r="EI262" s="240"/>
      <c r="EJ262" s="240"/>
      <c r="EK262" s="240"/>
      <c r="EL262" s="240"/>
      <c r="EM262" s="240"/>
      <c r="EN262" s="240"/>
      <c r="EO262" s="240"/>
      <c r="EP262" s="240"/>
      <c r="EQ262" s="240"/>
      <c r="ER262" s="240"/>
      <c r="ES262" s="240"/>
      <c r="ET262" s="240"/>
      <c r="EU262" s="240"/>
      <c r="EV262" s="240"/>
      <c r="EW262" s="240"/>
      <c r="EX262" s="240"/>
      <c r="EY262" s="240"/>
      <c r="EZ262" s="240"/>
      <c r="FA262" s="240"/>
      <c r="FB262" s="240"/>
      <c r="FC262" s="240"/>
      <c r="FD262" s="240"/>
      <c r="FE262" s="240"/>
      <c r="FF262" s="240"/>
      <c r="FG262" s="240"/>
      <c r="FH262" s="240"/>
      <c r="FI262" s="240"/>
      <c r="FJ262" s="240"/>
      <c r="FK262" s="240"/>
      <c r="FL262" s="240"/>
      <c r="FM262" s="240"/>
      <c r="FN262" s="240"/>
      <c r="FO262" s="240"/>
      <c r="FP262" s="240"/>
      <c r="FQ262" s="240"/>
      <c r="FR262" s="240"/>
      <c r="FS262" s="240"/>
      <c r="FT262" s="240"/>
      <c r="FU262" s="240"/>
      <c r="FV262" s="240"/>
      <c r="FW262" s="240"/>
      <c r="FX262" s="240"/>
      <c r="FY262" s="240"/>
      <c r="FZ262" s="240"/>
      <c r="GA262" s="240"/>
      <c r="GB262" s="240"/>
      <c r="GC262" s="240"/>
      <c r="GD262" s="240"/>
      <c r="GE262" s="240"/>
      <c r="GF262" s="240"/>
      <c r="GG262" s="240"/>
      <c r="GH262" s="240"/>
      <c r="GI262" s="240"/>
      <c r="GJ262" s="240"/>
      <c r="GK262" s="240"/>
      <c r="GL262" s="240"/>
      <c r="GM262" s="240"/>
      <c r="GN262" s="240"/>
      <c r="GO262" s="240"/>
      <c r="GP262" s="240"/>
      <c r="GQ262" s="240"/>
      <c r="GR262" s="240"/>
      <c r="GS262" s="240"/>
      <c r="GT262" s="240"/>
      <c r="GU262" s="240"/>
      <c r="GV262" s="240"/>
      <c r="GW262" s="240"/>
      <c r="GX262" s="240"/>
      <c r="GY262" s="240"/>
      <c r="GZ262" s="240"/>
      <c r="HA262" s="240"/>
      <c r="HB262" s="240"/>
      <c r="HC262" s="240"/>
      <c r="HD262" s="240"/>
      <c r="HE262" s="240"/>
      <c r="HF262" s="240"/>
      <c r="HG262" s="240"/>
      <c r="HH262" s="240"/>
      <c r="HI262" s="240"/>
      <c r="HJ262" s="240"/>
      <c r="HK262" s="240"/>
      <c r="HL262" s="240"/>
      <c r="HM262" s="240"/>
      <c r="HN262" s="240"/>
      <c r="HO262" s="240"/>
      <c r="HP262" s="240"/>
      <c r="HQ262" s="240"/>
      <c r="HR262" s="240"/>
      <c r="HS262" s="240"/>
      <c r="HT262" s="240"/>
      <c r="HU262" s="240"/>
      <c r="HV262" s="240"/>
      <c r="HW262" s="240"/>
      <c r="HX262" s="240"/>
      <c r="HY262" s="240"/>
      <c r="HZ262" s="240"/>
      <c r="IA262" s="240"/>
      <c r="IB262" s="240"/>
      <c r="IC262" s="240"/>
      <c r="ID262" s="240"/>
      <c r="IE262" s="240"/>
      <c r="IF262" s="240"/>
      <c r="IG262" s="240"/>
      <c r="IH262" s="240"/>
      <c r="II262" s="240"/>
      <c r="IJ262" s="240"/>
      <c r="IK262" s="240"/>
      <c r="IL262" s="240"/>
      <c r="IM262" s="240"/>
      <c r="IN262" s="240"/>
      <c r="IO262" s="240"/>
      <c r="IP262" s="240"/>
      <c r="IQ262" s="240"/>
      <c r="IR262" s="240"/>
      <c r="IS262" s="240"/>
      <c r="IT262" s="240"/>
      <c r="IU262" s="240"/>
      <c r="IV262" s="240"/>
    </row>
    <row r="263" spans="1:256" s="241" customFormat="1" ht="25.5">
      <c r="A263" s="15" t="s">
        <v>260</v>
      </c>
      <c r="B263" s="87" t="s">
        <v>422</v>
      </c>
      <c r="C263" s="67" t="s">
        <v>265</v>
      </c>
      <c r="D263" s="67" t="s">
        <v>266</v>
      </c>
      <c r="E263" s="67" t="s">
        <v>267</v>
      </c>
      <c r="F263" s="67" t="s">
        <v>268</v>
      </c>
      <c r="G263" s="292" t="s">
        <v>242</v>
      </c>
      <c r="H263" s="15">
        <v>100</v>
      </c>
      <c r="I263" s="419" t="s">
        <v>394</v>
      </c>
      <c r="J263" s="67" t="s">
        <v>407</v>
      </c>
      <c r="K263" s="15"/>
      <c r="L263" s="211" t="s">
        <v>964</v>
      </c>
      <c r="M263" s="15"/>
      <c r="N263" s="430">
        <v>7207200</v>
      </c>
      <c r="O263" s="431">
        <v>28828800</v>
      </c>
      <c r="P263" s="33"/>
      <c r="Q263" s="33"/>
      <c r="R263" s="33"/>
      <c r="S263" s="33"/>
      <c r="T263" s="430">
        <v>36036000</v>
      </c>
      <c r="U263" s="37">
        <f t="shared" si="21"/>
        <v>40360320.00000001</v>
      </c>
      <c r="V263" s="15"/>
      <c r="W263" s="15">
        <v>2013</v>
      </c>
      <c r="X263" s="242"/>
      <c r="Y263" s="240"/>
      <c r="Z263" s="240"/>
      <c r="AA263" s="240"/>
      <c r="AB263" s="240"/>
      <c r="AC263" s="240"/>
      <c r="AD263" s="240"/>
      <c r="AE263" s="240"/>
      <c r="AF263" s="240"/>
      <c r="AG263" s="240"/>
      <c r="AH263" s="240"/>
      <c r="AI263" s="240"/>
      <c r="AJ263" s="240"/>
      <c r="AK263" s="240"/>
      <c r="AL263" s="240"/>
      <c r="AM263" s="240"/>
      <c r="AN263" s="240"/>
      <c r="AO263" s="240"/>
      <c r="AP263" s="240"/>
      <c r="AQ263" s="240"/>
      <c r="AR263" s="240"/>
      <c r="AS263" s="240"/>
      <c r="AT263" s="240"/>
      <c r="AU263" s="240"/>
      <c r="AV263" s="240"/>
      <c r="AW263" s="240"/>
      <c r="AX263" s="240"/>
      <c r="AY263" s="240"/>
      <c r="AZ263" s="240"/>
      <c r="BA263" s="240"/>
      <c r="BB263" s="240"/>
      <c r="BC263" s="240"/>
      <c r="BD263" s="240"/>
      <c r="BE263" s="240"/>
      <c r="BF263" s="240"/>
      <c r="BG263" s="240"/>
      <c r="BH263" s="240"/>
      <c r="BI263" s="240"/>
      <c r="BJ263" s="240"/>
      <c r="BK263" s="240"/>
      <c r="BL263" s="240"/>
      <c r="BM263" s="240"/>
      <c r="BN263" s="240"/>
      <c r="BO263" s="240"/>
      <c r="BP263" s="240"/>
      <c r="BQ263" s="240"/>
      <c r="BR263" s="240"/>
      <c r="BS263" s="240"/>
      <c r="BT263" s="240"/>
      <c r="BU263" s="240"/>
      <c r="BV263" s="240"/>
      <c r="BW263" s="240"/>
      <c r="BX263" s="240"/>
      <c r="BY263" s="240"/>
      <c r="BZ263" s="240"/>
      <c r="CA263" s="240"/>
      <c r="CB263" s="240"/>
      <c r="CC263" s="240"/>
      <c r="CD263" s="240"/>
      <c r="CE263" s="240"/>
      <c r="CF263" s="240"/>
      <c r="CG263" s="240"/>
      <c r="CH263" s="240"/>
      <c r="CI263" s="240"/>
      <c r="CJ263" s="240"/>
      <c r="CK263" s="240"/>
      <c r="CL263" s="240"/>
      <c r="CM263" s="240"/>
      <c r="CN263" s="240"/>
      <c r="CO263" s="240"/>
      <c r="CP263" s="240"/>
      <c r="CQ263" s="240"/>
      <c r="CR263" s="240"/>
      <c r="CS263" s="240"/>
      <c r="CT263" s="240"/>
      <c r="CU263" s="240"/>
      <c r="CV263" s="240"/>
      <c r="CW263" s="240"/>
      <c r="CX263" s="240"/>
      <c r="CY263" s="240"/>
      <c r="CZ263" s="240"/>
      <c r="DA263" s="240"/>
      <c r="DB263" s="240"/>
      <c r="DC263" s="240"/>
      <c r="DD263" s="240"/>
      <c r="DE263" s="240"/>
      <c r="DF263" s="240"/>
      <c r="DG263" s="240"/>
      <c r="DH263" s="240"/>
      <c r="DI263" s="240"/>
      <c r="DJ263" s="240"/>
      <c r="DK263" s="240"/>
      <c r="DL263" s="240"/>
      <c r="DM263" s="240"/>
      <c r="DN263" s="240"/>
      <c r="DO263" s="240"/>
      <c r="DP263" s="240"/>
      <c r="DQ263" s="240"/>
      <c r="DR263" s="240"/>
      <c r="DS263" s="240"/>
      <c r="DT263" s="240"/>
      <c r="DU263" s="240"/>
      <c r="DV263" s="240"/>
      <c r="DW263" s="240"/>
      <c r="DX263" s="240"/>
      <c r="DY263" s="240"/>
      <c r="DZ263" s="240"/>
      <c r="EA263" s="240"/>
      <c r="EB263" s="240"/>
      <c r="EC263" s="240"/>
      <c r="ED263" s="240"/>
      <c r="EE263" s="240"/>
      <c r="EF263" s="240"/>
      <c r="EG263" s="240"/>
      <c r="EH263" s="240"/>
      <c r="EI263" s="240"/>
      <c r="EJ263" s="240"/>
      <c r="EK263" s="240"/>
      <c r="EL263" s="240"/>
      <c r="EM263" s="240"/>
      <c r="EN263" s="240"/>
      <c r="EO263" s="240"/>
      <c r="EP263" s="240"/>
      <c r="EQ263" s="240"/>
      <c r="ER263" s="240"/>
      <c r="ES263" s="240"/>
      <c r="ET263" s="240"/>
      <c r="EU263" s="240"/>
      <c r="EV263" s="240"/>
      <c r="EW263" s="240"/>
      <c r="EX263" s="240"/>
      <c r="EY263" s="240"/>
      <c r="EZ263" s="240"/>
      <c r="FA263" s="240"/>
      <c r="FB263" s="240"/>
      <c r="FC263" s="240"/>
      <c r="FD263" s="240"/>
      <c r="FE263" s="240"/>
      <c r="FF263" s="240"/>
      <c r="FG263" s="240"/>
      <c r="FH263" s="240"/>
      <c r="FI263" s="240"/>
      <c r="FJ263" s="240"/>
      <c r="FK263" s="240"/>
      <c r="FL263" s="240"/>
      <c r="FM263" s="240"/>
      <c r="FN263" s="240"/>
      <c r="FO263" s="240"/>
      <c r="FP263" s="240"/>
      <c r="FQ263" s="240"/>
      <c r="FR263" s="240"/>
      <c r="FS263" s="240"/>
      <c r="FT263" s="240"/>
      <c r="FU263" s="240"/>
      <c r="FV263" s="240"/>
      <c r="FW263" s="240"/>
      <c r="FX263" s="240"/>
      <c r="FY263" s="240"/>
      <c r="FZ263" s="240"/>
      <c r="GA263" s="240"/>
      <c r="GB263" s="240"/>
      <c r="GC263" s="240"/>
      <c r="GD263" s="240"/>
      <c r="GE263" s="240"/>
      <c r="GF263" s="240"/>
      <c r="GG263" s="240"/>
      <c r="GH263" s="240"/>
      <c r="GI263" s="240"/>
      <c r="GJ263" s="240"/>
      <c r="GK263" s="240"/>
      <c r="GL263" s="240"/>
      <c r="GM263" s="240"/>
      <c r="GN263" s="240"/>
      <c r="GO263" s="240"/>
      <c r="GP263" s="240"/>
      <c r="GQ263" s="240"/>
      <c r="GR263" s="240"/>
      <c r="GS263" s="240"/>
      <c r="GT263" s="240"/>
      <c r="GU263" s="240"/>
      <c r="GV263" s="240"/>
      <c r="GW263" s="240"/>
      <c r="GX263" s="240"/>
      <c r="GY263" s="240"/>
      <c r="GZ263" s="240"/>
      <c r="HA263" s="240"/>
      <c r="HB263" s="240"/>
      <c r="HC263" s="240"/>
      <c r="HD263" s="240"/>
      <c r="HE263" s="240"/>
      <c r="HF263" s="240"/>
      <c r="HG263" s="240"/>
      <c r="HH263" s="240"/>
      <c r="HI263" s="240"/>
      <c r="HJ263" s="240"/>
      <c r="HK263" s="240"/>
      <c r="HL263" s="240"/>
      <c r="HM263" s="240"/>
      <c r="HN263" s="240"/>
      <c r="HO263" s="240"/>
      <c r="HP263" s="240"/>
      <c r="HQ263" s="240"/>
      <c r="HR263" s="240"/>
      <c r="HS263" s="240"/>
      <c r="HT263" s="240"/>
      <c r="HU263" s="240"/>
      <c r="HV263" s="240"/>
      <c r="HW263" s="240"/>
      <c r="HX263" s="240"/>
      <c r="HY263" s="240"/>
      <c r="HZ263" s="240"/>
      <c r="IA263" s="240"/>
      <c r="IB263" s="240"/>
      <c r="IC263" s="240"/>
      <c r="ID263" s="240"/>
      <c r="IE263" s="240"/>
      <c r="IF263" s="240"/>
      <c r="IG263" s="240"/>
      <c r="IH263" s="240"/>
      <c r="II263" s="240"/>
      <c r="IJ263" s="240"/>
      <c r="IK263" s="240"/>
      <c r="IL263" s="240"/>
      <c r="IM263" s="240"/>
      <c r="IN263" s="240"/>
      <c r="IO263" s="240"/>
      <c r="IP263" s="240"/>
      <c r="IQ263" s="240"/>
      <c r="IR263" s="240"/>
      <c r="IS263" s="240"/>
      <c r="IT263" s="240"/>
      <c r="IU263" s="240"/>
      <c r="IV263" s="240"/>
    </row>
    <row r="264" spans="1:256" s="241" customFormat="1" ht="25.5">
      <c r="A264" s="15" t="s">
        <v>263</v>
      </c>
      <c r="B264" s="87" t="s">
        <v>422</v>
      </c>
      <c r="C264" s="67" t="s">
        <v>265</v>
      </c>
      <c r="D264" s="67" t="s">
        <v>266</v>
      </c>
      <c r="E264" s="67" t="s">
        <v>267</v>
      </c>
      <c r="F264" s="67" t="s">
        <v>268</v>
      </c>
      <c r="G264" s="292" t="s">
        <v>242</v>
      </c>
      <c r="H264" s="15">
        <v>100</v>
      </c>
      <c r="I264" s="419" t="s">
        <v>394</v>
      </c>
      <c r="J264" s="67" t="s">
        <v>118</v>
      </c>
      <c r="K264" s="15"/>
      <c r="L264" s="211" t="s">
        <v>964</v>
      </c>
      <c r="M264" s="15"/>
      <c r="N264" s="430">
        <v>1556100</v>
      </c>
      <c r="O264" s="430">
        <f>T264-N264</f>
        <v>6224400</v>
      </c>
      <c r="P264" s="33"/>
      <c r="Q264" s="33"/>
      <c r="R264" s="33"/>
      <c r="S264" s="33"/>
      <c r="T264" s="430">
        <v>7780500</v>
      </c>
      <c r="U264" s="37">
        <f t="shared" si="21"/>
        <v>8714160</v>
      </c>
      <c r="V264" s="15"/>
      <c r="W264" s="15">
        <v>2013</v>
      </c>
      <c r="X264" s="242"/>
      <c r="Y264" s="240"/>
      <c r="Z264" s="240"/>
      <c r="AA264" s="240"/>
      <c r="AB264" s="240"/>
      <c r="AC264" s="240"/>
      <c r="AD264" s="240"/>
      <c r="AE264" s="240"/>
      <c r="AF264" s="240"/>
      <c r="AG264" s="240"/>
      <c r="AH264" s="240"/>
      <c r="AI264" s="240"/>
      <c r="AJ264" s="240"/>
      <c r="AK264" s="240"/>
      <c r="AL264" s="240"/>
      <c r="AM264" s="240"/>
      <c r="AN264" s="240"/>
      <c r="AO264" s="240"/>
      <c r="AP264" s="240"/>
      <c r="AQ264" s="240"/>
      <c r="AR264" s="240"/>
      <c r="AS264" s="240"/>
      <c r="AT264" s="240"/>
      <c r="AU264" s="240"/>
      <c r="AV264" s="240"/>
      <c r="AW264" s="240"/>
      <c r="AX264" s="240"/>
      <c r="AY264" s="240"/>
      <c r="AZ264" s="240"/>
      <c r="BA264" s="240"/>
      <c r="BB264" s="240"/>
      <c r="BC264" s="240"/>
      <c r="BD264" s="240"/>
      <c r="BE264" s="240"/>
      <c r="BF264" s="240"/>
      <c r="BG264" s="240"/>
      <c r="BH264" s="240"/>
      <c r="BI264" s="240"/>
      <c r="BJ264" s="240"/>
      <c r="BK264" s="240"/>
      <c r="BL264" s="240"/>
      <c r="BM264" s="240"/>
      <c r="BN264" s="240"/>
      <c r="BO264" s="240"/>
      <c r="BP264" s="240"/>
      <c r="BQ264" s="240"/>
      <c r="BR264" s="240"/>
      <c r="BS264" s="240"/>
      <c r="BT264" s="240"/>
      <c r="BU264" s="240"/>
      <c r="BV264" s="240"/>
      <c r="BW264" s="240"/>
      <c r="BX264" s="240"/>
      <c r="BY264" s="240"/>
      <c r="BZ264" s="240"/>
      <c r="CA264" s="240"/>
      <c r="CB264" s="240"/>
      <c r="CC264" s="240"/>
      <c r="CD264" s="240"/>
      <c r="CE264" s="240"/>
      <c r="CF264" s="240"/>
      <c r="CG264" s="240"/>
      <c r="CH264" s="240"/>
      <c r="CI264" s="240"/>
      <c r="CJ264" s="240"/>
      <c r="CK264" s="240"/>
      <c r="CL264" s="240"/>
      <c r="CM264" s="240"/>
      <c r="CN264" s="240"/>
      <c r="CO264" s="240"/>
      <c r="CP264" s="240"/>
      <c r="CQ264" s="240"/>
      <c r="CR264" s="240"/>
      <c r="CS264" s="240"/>
      <c r="CT264" s="240"/>
      <c r="CU264" s="240"/>
      <c r="CV264" s="240"/>
      <c r="CW264" s="240"/>
      <c r="CX264" s="240"/>
      <c r="CY264" s="240"/>
      <c r="CZ264" s="240"/>
      <c r="DA264" s="240"/>
      <c r="DB264" s="240"/>
      <c r="DC264" s="240"/>
      <c r="DD264" s="240"/>
      <c r="DE264" s="240"/>
      <c r="DF264" s="240"/>
      <c r="DG264" s="240"/>
      <c r="DH264" s="240"/>
      <c r="DI264" s="240"/>
      <c r="DJ264" s="240"/>
      <c r="DK264" s="240"/>
      <c r="DL264" s="240"/>
      <c r="DM264" s="240"/>
      <c r="DN264" s="240"/>
      <c r="DO264" s="240"/>
      <c r="DP264" s="240"/>
      <c r="DQ264" s="240"/>
      <c r="DR264" s="240"/>
      <c r="DS264" s="240"/>
      <c r="DT264" s="240"/>
      <c r="DU264" s="240"/>
      <c r="DV264" s="240"/>
      <c r="DW264" s="240"/>
      <c r="DX264" s="240"/>
      <c r="DY264" s="240"/>
      <c r="DZ264" s="240"/>
      <c r="EA264" s="240"/>
      <c r="EB264" s="240"/>
      <c r="EC264" s="240"/>
      <c r="ED264" s="240"/>
      <c r="EE264" s="240"/>
      <c r="EF264" s="240"/>
      <c r="EG264" s="240"/>
      <c r="EH264" s="240"/>
      <c r="EI264" s="240"/>
      <c r="EJ264" s="240"/>
      <c r="EK264" s="240"/>
      <c r="EL264" s="240"/>
      <c r="EM264" s="240"/>
      <c r="EN264" s="240"/>
      <c r="EO264" s="240"/>
      <c r="EP264" s="240"/>
      <c r="EQ264" s="240"/>
      <c r="ER264" s="240"/>
      <c r="ES264" s="240"/>
      <c r="ET264" s="240"/>
      <c r="EU264" s="240"/>
      <c r="EV264" s="240"/>
      <c r="EW264" s="240"/>
      <c r="EX264" s="240"/>
      <c r="EY264" s="240"/>
      <c r="EZ264" s="240"/>
      <c r="FA264" s="240"/>
      <c r="FB264" s="240"/>
      <c r="FC264" s="240"/>
      <c r="FD264" s="240"/>
      <c r="FE264" s="240"/>
      <c r="FF264" s="240"/>
      <c r="FG264" s="240"/>
      <c r="FH264" s="240"/>
      <c r="FI264" s="240"/>
      <c r="FJ264" s="240"/>
      <c r="FK264" s="240"/>
      <c r="FL264" s="240"/>
      <c r="FM264" s="240"/>
      <c r="FN264" s="240"/>
      <c r="FO264" s="240"/>
      <c r="FP264" s="240"/>
      <c r="FQ264" s="240"/>
      <c r="FR264" s="240"/>
      <c r="FS264" s="240"/>
      <c r="FT264" s="240"/>
      <c r="FU264" s="240"/>
      <c r="FV264" s="240"/>
      <c r="FW264" s="240"/>
      <c r="FX264" s="240"/>
      <c r="FY264" s="240"/>
      <c r="FZ264" s="240"/>
      <c r="GA264" s="240"/>
      <c r="GB264" s="240"/>
      <c r="GC264" s="240"/>
      <c r="GD264" s="240"/>
      <c r="GE264" s="240"/>
      <c r="GF264" s="240"/>
      <c r="GG264" s="240"/>
      <c r="GH264" s="240"/>
      <c r="GI264" s="240"/>
      <c r="GJ264" s="240"/>
      <c r="GK264" s="240"/>
      <c r="GL264" s="240"/>
      <c r="GM264" s="240"/>
      <c r="GN264" s="240"/>
      <c r="GO264" s="240"/>
      <c r="GP264" s="240"/>
      <c r="GQ264" s="240"/>
      <c r="GR264" s="240"/>
      <c r="GS264" s="240"/>
      <c r="GT264" s="240"/>
      <c r="GU264" s="240"/>
      <c r="GV264" s="240"/>
      <c r="GW264" s="240"/>
      <c r="GX264" s="240"/>
      <c r="GY264" s="240"/>
      <c r="GZ264" s="240"/>
      <c r="HA264" s="240"/>
      <c r="HB264" s="240"/>
      <c r="HC264" s="240"/>
      <c r="HD264" s="240"/>
      <c r="HE264" s="240"/>
      <c r="HF264" s="240"/>
      <c r="HG264" s="240"/>
      <c r="HH264" s="240"/>
      <c r="HI264" s="240"/>
      <c r="HJ264" s="240"/>
      <c r="HK264" s="240"/>
      <c r="HL264" s="240"/>
      <c r="HM264" s="240"/>
      <c r="HN264" s="240"/>
      <c r="HO264" s="240"/>
      <c r="HP264" s="240"/>
      <c r="HQ264" s="240"/>
      <c r="HR264" s="240"/>
      <c r="HS264" s="240"/>
      <c r="HT264" s="240"/>
      <c r="HU264" s="240"/>
      <c r="HV264" s="240"/>
      <c r="HW264" s="240"/>
      <c r="HX264" s="240"/>
      <c r="HY264" s="240"/>
      <c r="HZ264" s="240"/>
      <c r="IA264" s="240"/>
      <c r="IB264" s="240"/>
      <c r="IC264" s="240"/>
      <c r="ID264" s="240"/>
      <c r="IE264" s="240"/>
      <c r="IF264" s="240"/>
      <c r="IG264" s="240"/>
      <c r="IH264" s="240"/>
      <c r="II264" s="240"/>
      <c r="IJ264" s="240"/>
      <c r="IK264" s="240"/>
      <c r="IL264" s="240"/>
      <c r="IM264" s="240"/>
      <c r="IN264" s="240"/>
      <c r="IO264" s="240"/>
      <c r="IP264" s="240"/>
      <c r="IQ264" s="240"/>
      <c r="IR264" s="240"/>
      <c r="IS264" s="240"/>
      <c r="IT264" s="240"/>
      <c r="IU264" s="240"/>
      <c r="IV264" s="240"/>
    </row>
    <row r="265" spans="1:256" s="241" customFormat="1" ht="25.5">
      <c r="A265" s="15" t="s">
        <v>261</v>
      </c>
      <c r="B265" s="87" t="s">
        <v>422</v>
      </c>
      <c r="C265" s="67" t="s">
        <v>265</v>
      </c>
      <c r="D265" s="67" t="s">
        <v>266</v>
      </c>
      <c r="E265" s="67" t="s">
        <v>267</v>
      </c>
      <c r="F265" s="67" t="s">
        <v>269</v>
      </c>
      <c r="G265" s="292" t="s">
        <v>242</v>
      </c>
      <c r="H265" s="15">
        <v>100</v>
      </c>
      <c r="I265" s="419" t="s">
        <v>394</v>
      </c>
      <c r="J265" s="67" t="s">
        <v>407</v>
      </c>
      <c r="K265" s="15"/>
      <c r="L265" s="211" t="s">
        <v>964</v>
      </c>
      <c r="M265" s="15"/>
      <c r="N265" s="430">
        <v>982800</v>
      </c>
      <c r="O265" s="430">
        <f>T265-N265</f>
        <v>3931200</v>
      </c>
      <c r="P265" s="33"/>
      <c r="Q265" s="33"/>
      <c r="R265" s="33"/>
      <c r="S265" s="33"/>
      <c r="T265" s="430">
        <v>4914000</v>
      </c>
      <c r="U265" s="37">
        <f t="shared" si="21"/>
        <v>5503680.000000001</v>
      </c>
      <c r="V265" s="15"/>
      <c r="W265" s="15">
        <v>2013</v>
      </c>
      <c r="X265" s="242"/>
      <c r="Y265" s="240"/>
      <c r="Z265" s="240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40"/>
      <c r="AK265" s="240"/>
      <c r="AL265" s="240"/>
      <c r="AM265" s="240"/>
      <c r="AN265" s="240"/>
      <c r="AO265" s="240"/>
      <c r="AP265" s="240"/>
      <c r="AQ265" s="240"/>
      <c r="AR265" s="240"/>
      <c r="AS265" s="240"/>
      <c r="AT265" s="240"/>
      <c r="AU265" s="240"/>
      <c r="AV265" s="240"/>
      <c r="AW265" s="240"/>
      <c r="AX265" s="240"/>
      <c r="AY265" s="240"/>
      <c r="AZ265" s="240"/>
      <c r="BA265" s="240"/>
      <c r="BB265" s="240"/>
      <c r="BC265" s="240"/>
      <c r="BD265" s="240"/>
      <c r="BE265" s="240"/>
      <c r="BF265" s="240"/>
      <c r="BG265" s="240"/>
      <c r="BH265" s="240"/>
      <c r="BI265" s="240"/>
      <c r="BJ265" s="240"/>
      <c r="BK265" s="240"/>
      <c r="BL265" s="240"/>
      <c r="BM265" s="240"/>
      <c r="BN265" s="240"/>
      <c r="BO265" s="240"/>
      <c r="BP265" s="240"/>
      <c r="BQ265" s="240"/>
      <c r="BR265" s="240"/>
      <c r="BS265" s="240"/>
      <c r="BT265" s="240"/>
      <c r="BU265" s="240"/>
      <c r="BV265" s="240"/>
      <c r="BW265" s="240"/>
      <c r="BX265" s="240"/>
      <c r="BY265" s="240"/>
      <c r="BZ265" s="240"/>
      <c r="CA265" s="240"/>
      <c r="CB265" s="240"/>
      <c r="CC265" s="240"/>
      <c r="CD265" s="240"/>
      <c r="CE265" s="240"/>
      <c r="CF265" s="240"/>
      <c r="CG265" s="240"/>
      <c r="CH265" s="240"/>
      <c r="CI265" s="240"/>
      <c r="CJ265" s="240"/>
      <c r="CK265" s="240"/>
      <c r="CL265" s="240"/>
      <c r="CM265" s="240"/>
      <c r="CN265" s="240"/>
      <c r="CO265" s="240"/>
      <c r="CP265" s="240"/>
      <c r="CQ265" s="240"/>
      <c r="CR265" s="240"/>
      <c r="CS265" s="240"/>
      <c r="CT265" s="240"/>
      <c r="CU265" s="240"/>
      <c r="CV265" s="240"/>
      <c r="CW265" s="240"/>
      <c r="CX265" s="240"/>
      <c r="CY265" s="240"/>
      <c r="CZ265" s="240"/>
      <c r="DA265" s="240"/>
      <c r="DB265" s="240"/>
      <c r="DC265" s="240"/>
      <c r="DD265" s="240"/>
      <c r="DE265" s="240"/>
      <c r="DF265" s="240"/>
      <c r="DG265" s="240"/>
      <c r="DH265" s="240"/>
      <c r="DI265" s="240"/>
      <c r="DJ265" s="240"/>
      <c r="DK265" s="240"/>
      <c r="DL265" s="240"/>
      <c r="DM265" s="240"/>
      <c r="DN265" s="240"/>
      <c r="DO265" s="240"/>
      <c r="DP265" s="240"/>
      <c r="DQ265" s="240"/>
      <c r="DR265" s="240"/>
      <c r="DS265" s="240"/>
      <c r="DT265" s="240"/>
      <c r="DU265" s="240"/>
      <c r="DV265" s="240"/>
      <c r="DW265" s="240"/>
      <c r="DX265" s="240"/>
      <c r="DY265" s="240"/>
      <c r="DZ265" s="240"/>
      <c r="EA265" s="240"/>
      <c r="EB265" s="240"/>
      <c r="EC265" s="240"/>
      <c r="ED265" s="240"/>
      <c r="EE265" s="240"/>
      <c r="EF265" s="240"/>
      <c r="EG265" s="240"/>
      <c r="EH265" s="240"/>
      <c r="EI265" s="240"/>
      <c r="EJ265" s="240"/>
      <c r="EK265" s="240"/>
      <c r="EL265" s="240"/>
      <c r="EM265" s="240"/>
      <c r="EN265" s="240"/>
      <c r="EO265" s="240"/>
      <c r="EP265" s="240"/>
      <c r="EQ265" s="240"/>
      <c r="ER265" s="240"/>
      <c r="ES265" s="240"/>
      <c r="ET265" s="240"/>
      <c r="EU265" s="240"/>
      <c r="EV265" s="240"/>
      <c r="EW265" s="240"/>
      <c r="EX265" s="240"/>
      <c r="EY265" s="240"/>
      <c r="EZ265" s="240"/>
      <c r="FA265" s="240"/>
      <c r="FB265" s="240"/>
      <c r="FC265" s="240"/>
      <c r="FD265" s="240"/>
      <c r="FE265" s="240"/>
      <c r="FF265" s="240"/>
      <c r="FG265" s="240"/>
      <c r="FH265" s="240"/>
      <c r="FI265" s="240"/>
      <c r="FJ265" s="240"/>
      <c r="FK265" s="240"/>
      <c r="FL265" s="240"/>
      <c r="FM265" s="240"/>
      <c r="FN265" s="240"/>
      <c r="FO265" s="240"/>
      <c r="FP265" s="240"/>
      <c r="FQ265" s="240"/>
      <c r="FR265" s="240"/>
      <c r="FS265" s="240"/>
      <c r="FT265" s="240"/>
      <c r="FU265" s="240"/>
      <c r="FV265" s="240"/>
      <c r="FW265" s="240"/>
      <c r="FX265" s="240"/>
      <c r="FY265" s="240"/>
      <c r="FZ265" s="240"/>
      <c r="GA265" s="240"/>
      <c r="GB265" s="240"/>
      <c r="GC265" s="240"/>
      <c r="GD265" s="240"/>
      <c r="GE265" s="240"/>
      <c r="GF265" s="240"/>
      <c r="GG265" s="240"/>
      <c r="GH265" s="240"/>
      <c r="GI265" s="240"/>
      <c r="GJ265" s="240"/>
      <c r="GK265" s="240"/>
      <c r="GL265" s="240"/>
      <c r="GM265" s="240"/>
      <c r="GN265" s="240"/>
      <c r="GO265" s="240"/>
      <c r="GP265" s="240"/>
      <c r="GQ265" s="240"/>
      <c r="GR265" s="240"/>
      <c r="GS265" s="240"/>
      <c r="GT265" s="240"/>
      <c r="GU265" s="240"/>
      <c r="GV265" s="240"/>
      <c r="GW265" s="240"/>
      <c r="GX265" s="240"/>
      <c r="GY265" s="240"/>
      <c r="GZ265" s="240"/>
      <c r="HA265" s="240"/>
      <c r="HB265" s="240"/>
      <c r="HC265" s="240"/>
      <c r="HD265" s="240"/>
      <c r="HE265" s="240"/>
      <c r="HF265" s="240"/>
      <c r="HG265" s="240"/>
      <c r="HH265" s="240"/>
      <c r="HI265" s="240"/>
      <c r="HJ265" s="240"/>
      <c r="HK265" s="240"/>
      <c r="HL265" s="240"/>
      <c r="HM265" s="240"/>
      <c r="HN265" s="240"/>
      <c r="HO265" s="240"/>
      <c r="HP265" s="240"/>
      <c r="HQ265" s="240"/>
      <c r="HR265" s="240"/>
      <c r="HS265" s="240"/>
      <c r="HT265" s="240"/>
      <c r="HU265" s="240"/>
      <c r="HV265" s="240"/>
      <c r="HW265" s="240"/>
      <c r="HX265" s="240"/>
      <c r="HY265" s="240"/>
      <c r="HZ265" s="240"/>
      <c r="IA265" s="240"/>
      <c r="IB265" s="240"/>
      <c r="IC265" s="240"/>
      <c r="ID265" s="240"/>
      <c r="IE265" s="240"/>
      <c r="IF265" s="240"/>
      <c r="IG265" s="240"/>
      <c r="IH265" s="240"/>
      <c r="II265" s="240"/>
      <c r="IJ265" s="240"/>
      <c r="IK265" s="240"/>
      <c r="IL265" s="240"/>
      <c r="IM265" s="240"/>
      <c r="IN265" s="240"/>
      <c r="IO265" s="240"/>
      <c r="IP265" s="240"/>
      <c r="IQ265" s="240"/>
      <c r="IR265" s="240"/>
      <c r="IS265" s="240"/>
      <c r="IT265" s="240"/>
      <c r="IU265" s="240"/>
      <c r="IV265" s="240"/>
    </row>
    <row r="266" spans="1:256" s="241" customFormat="1" ht="25.5">
      <c r="A266" s="15" t="s">
        <v>262</v>
      </c>
      <c r="B266" s="87" t="s">
        <v>422</v>
      </c>
      <c r="C266" s="67" t="s">
        <v>265</v>
      </c>
      <c r="D266" s="67" t="s">
        <v>266</v>
      </c>
      <c r="E266" s="67" t="s">
        <v>267</v>
      </c>
      <c r="F266" s="67" t="s">
        <v>269</v>
      </c>
      <c r="G266" s="292" t="s">
        <v>242</v>
      </c>
      <c r="H266" s="15">
        <v>100</v>
      </c>
      <c r="I266" s="419" t="s">
        <v>394</v>
      </c>
      <c r="J266" s="67" t="s">
        <v>118</v>
      </c>
      <c r="K266" s="15"/>
      <c r="L266" s="211" t="s">
        <v>964</v>
      </c>
      <c r="M266" s="15"/>
      <c r="N266" s="430">
        <v>491400</v>
      </c>
      <c r="O266" s="430">
        <f>T266-N266</f>
        <v>1965600</v>
      </c>
      <c r="P266" s="33"/>
      <c r="Q266" s="33"/>
      <c r="R266" s="33"/>
      <c r="S266" s="33"/>
      <c r="T266" s="430">
        <v>2457000</v>
      </c>
      <c r="U266" s="37">
        <f t="shared" si="21"/>
        <v>2751840.0000000005</v>
      </c>
      <c r="V266" s="15"/>
      <c r="W266" s="15">
        <v>2013</v>
      </c>
      <c r="X266" s="242"/>
      <c r="Y266" s="240"/>
      <c r="Z266" s="240"/>
      <c r="AA266" s="240"/>
      <c r="AB266" s="240"/>
      <c r="AC266" s="240"/>
      <c r="AD266" s="240"/>
      <c r="AE266" s="240"/>
      <c r="AF266" s="240"/>
      <c r="AG266" s="240"/>
      <c r="AH266" s="240"/>
      <c r="AI266" s="240"/>
      <c r="AJ266" s="240"/>
      <c r="AK266" s="240"/>
      <c r="AL266" s="240"/>
      <c r="AM266" s="240"/>
      <c r="AN266" s="240"/>
      <c r="AO266" s="240"/>
      <c r="AP266" s="240"/>
      <c r="AQ266" s="240"/>
      <c r="AR266" s="240"/>
      <c r="AS266" s="240"/>
      <c r="AT266" s="240"/>
      <c r="AU266" s="240"/>
      <c r="AV266" s="240"/>
      <c r="AW266" s="240"/>
      <c r="AX266" s="240"/>
      <c r="AY266" s="240"/>
      <c r="AZ266" s="240"/>
      <c r="BA266" s="240"/>
      <c r="BB266" s="240"/>
      <c r="BC266" s="240"/>
      <c r="BD266" s="240"/>
      <c r="BE266" s="240"/>
      <c r="BF266" s="240"/>
      <c r="BG266" s="240"/>
      <c r="BH266" s="240"/>
      <c r="BI266" s="240"/>
      <c r="BJ266" s="240"/>
      <c r="BK266" s="240"/>
      <c r="BL266" s="240"/>
      <c r="BM266" s="240"/>
      <c r="BN266" s="240"/>
      <c r="BO266" s="240"/>
      <c r="BP266" s="240"/>
      <c r="BQ266" s="240"/>
      <c r="BR266" s="240"/>
      <c r="BS266" s="240"/>
      <c r="BT266" s="240"/>
      <c r="BU266" s="240"/>
      <c r="BV266" s="240"/>
      <c r="BW266" s="240"/>
      <c r="BX266" s="240"/>
      <c r="BY266" s="240"/>
      <c r="BZ266" s="240"/>
      <c r="CA266" s="240"/>
      <c r="CB266" s="240"/>
      <c r="CC266" s="240"/>
      <c r="CD266" s="240"/>
      <c r="CE266" s="240"/>
      <c r="CF266" s="240"/>
      <c r="CG266" s="240"/>
      <c r="CH266" s="240"/>
      <c r="CI266" s="240"/>
      <c r="CJ266" s="240"/>
      <c r="CK266" s="240"/>
      <c r="CL266" s="240"/>
      <c r="CM266" s="240"/>
      <c r="CN266" s="240"/>
      <c r="CO266" s="240"/>
      <c r="CP266" s="240"/>
      <c r="CQ266" s="240"/>
      <c r="CR266" s="240"/>
      <c r="CS266" s="240"/>
      <c r="CT266" s="240"/>
      <c r="CU266" s="240"/>
      <c r="CV266" s="240"/>
      <c r="CW266" s="240"/>
      <c r="CX266" s="240"/>
      <c r="CY266" s="240"/>
      <c r="CZ266" s="240"/>
      <c r="DA266" s="240"/>
      <c r="DB266" s="240"/>
      <c r="DC266" s="240"/>
      <c r="DD266" s="240"/>
      <c r="DE266" s="240"/>
      <c r="DF266" s="240"/>
      <c r="DG266" s="240"/>
      <c r="DH266" s="240"/>
      <c r="DI266" s="240"/>
      <c r="DJ266" s="240"/>
      <c r="DK266" s="240"/>
      <c r="DL266" s="240"/>
      <c r="DM266" s="240"/>
      <c r="DN266" s="240"/>
      <c r="DO266" s="240"/>
      <c r="DP266" s="240"/>
      <c r="DQ266" s="240"/>
      <c r="DR266" s="240"/>
      <c r="DS266" s="240"/>
      <c r="DT266" s="240"/>
      <c r="DU266" s="240"/>
      <c r="DV266" s="240"/>
      <c r="DW266" s="240"/>
      <c r="DX266" s="240"/>
      <c r="DY266" s="240"/>
      <c r="DZ266" s="240"/>
      <c r="EA266" s="240"/>
      <c r="EB266" s="240"/>
      <c r="EC266" s="240"/>
      <c r="ED266" s="240"/>
      <c r="EE266" s="240"/>
      <c r="EF266" s="240"/>
      <c r="EG266" s="240"/>
      <c r="EH266" s="240"/>
      <c r="EI266" s="240"/>
      <c r="EJ266" s="240"/>
      <c r="EK266" s="240"/>
      <c r="EL266" s="240"/>
      <c r="EM266" s="240"/>
      <c r="EN266" s="240"/>
      <c r="EO266" s="240"/>
      <c r="EP266" s="240"/>
      <c r="EQ266" s="240"/>
      <c r="ER266" s="240"/>
      <c r="ES266" s="240"/>
      <c r="ET266" s="240"/>
      <c r="EU266" s="240"/>
      <c r="EV266" s="240"/>
      <c r="EW266" s="240"/>
      <c r="EX266" s="240"/>
      <c r="EY266" s="240"/>
      <c r="EZ266" s="240"/>
      <c r="FA266" s="240"/>
      <c r="FB266" s="240"/>
      <c r="FC266" s="240"/>
      <c r="FD266" s="240"/>
      <c r="FE266" s="240"/>
      <c r="FF266" s="240"/>
      <c r="FG266" s="240"/>
      <c r="FH266" s="240"/>
      <c r="FI266" s="240"/>
      <c r="FJ266" s="240"/>
      <c r="FK266" s="240"/>
      <c r="FL266" s="240"/>
      <c r="FM266" s="240"/>
      <c r="FN266" s="240"/>
      <c r="FO266" s="240"/>
      <c r="FP266" s="240"/>
      <c r="FQ266" s="240"/>
      <c r="FR266" s="240"/>
      <c r="FS266" s="240"/>
      <c r="FT266" s="240"/>
      <c r="FU266" s="240"/>
      <c r="FV266" s="240"/>
      <c r="FW266" s="240"/>
      <c r="FX266" s="240"/>
      <c r="FY266" s="240"/>
      <c r="FZ266" s="240"/>
      <c r="GA266" s="240"/>
      <c r="GB266" s="240"/>
      <c r="GC266" s="240"/>
      <c r="GD266" s="240"/>
      <c r="GE266" s="240"/>
      <c r="GF266" s="240"/>
      <c r="GG266" s="240"/>
      <c r="GH266" s="240"/>
      <c r="GI266" s="240"/>
      <c r="GJ266" s="240"/>
      <c r="GK266" s="240"/>
      <c r="GL266" s="240"/>
      <c r="GM266" s="240"/>
      <c r="GN266" s="240"/>
      <c r="GO266" s="240"/>
      <c r="GP266" s="240"/>
      <c r="GQ266" s="240"/>
      <c r="GR266" s="240"/>
      <c r="GS266" s="240"/>
      <c r="GT266" s="240"/>
      <c r="GU266" s="240"/>
      <c r="GV266" s="240"/>
      <c r="GW266" s="240"/>
      <c r="GX266" s="240"/>
      <c r="GY266" s="240"/>
      <c r="GZ266" s="240"/>
      <c r="HA266" s="240"/>
      <c r="HB266" s="240"/>
      <c r="HC266" s="240"/>
      <c r="HD266" s="240"/>
      <c r="HE266" s="240"/>
      <c r="HF266" s="240"/>
      <c r="HG266" s="240"/>
      <c r="HH266" s="240"/>
      <c r="HI266" s="240"/>
      <c r="HJ266" s="240"/>
      <c r="HK266" s="240"/>
      <c r="HL266" s="240"/>
      <c r="HM266" s="240"/>
      <c r="HN266" s="240"/>
      <c r="HO266" s="240"/>
      <c r="HP266" s="240"/>
      <c r="HQ266" s="240"/>
      <c r="HR266" s="240"/>
      <c r="HS266" s="240"/>
      <c r="HT266" s="240"/>
      <c r="HU266" s="240"/>
      <c r="HV266" s="240"/>
      <c r="HW266" s="240"/>
      <c r="HX266" s="240"/>
      <c r="HY266" s="240"/>
      <c r="HZ266" s="240"/>
      <c r="IA266" s="240"/>
      <c r="IB266" s="240"/>
      <c r="IC266" s="240"/>
      <c r="ID266" s="240"/>
      <c r="IE266" s="240"/>
      <c r="IF266" s="240"/>
      <c r="IG266" s="240"/>
      <c r="IH266" s="240"/>
      <c r="II266" s="240"/>
      <c r="IJ266" s="240"/>
      <c r="IK266" s="240"/>
      <c r="IL266" s="240"/>
      <c r="IM266" s="240"/>
      <c r="IN266" s="240"/>
      <c r="IO266" s="240"/>
      <c r="IP266" s="240"/>
      <c r="IQ266" s="240"/>
      <c r="IR266" s="240"/>
      <c r="IS266" s="240"/>
      <c r="IT266" s="240"/>
      <c r="IU266" s="240"/>
      <c r="IV266" s="240"/>
    </row>
    <row r="267" spans="1:256" s="241" customFormat="1" ht="25.5">
      <c r="A267" s="15" t="s">
        <v>264</v>
      </c>
      <c r="B267" s="87" t="s">
        <v>422</v>
      </c>
      <c r="C267" s="67" t="s">
        <v>265</v>
      </c>
      <c r="D267" s="67" t="s">
        <v>266</v>
      </c>
      <c r="E267" s="67" t="s">
        <v>267</v>
      </c>
      <c r="F267" s="67" t="s">
        <v>269</v>
      </c>
      <c r="G267" s="292" t="s">
        <v>242</v>
      </c>
      <c r="H267" s="15">
        <v>100</v>
      </c>
      <c r="I267" s="419" t="s">
        <v>394</v>
      </c>
      <c r="J267" s="67" t="s">
        <v>270</v>
      </c>
      <c r="K267" s="15"/>
      <c r="L267" s="211" t="s">
        <v>964</v>
      </c>
      <c r="M267" s="15"/>
      <c r="N267" s="430">
        <v>491400</v>
      </c>
      <c r="O267" s="430">
        <f>T267-N267</f>
        <v>1965600</v>
      </c>
      <c r="P267" s="33"/>
      <c r="Q267" s="33"/>
      <c r="R267" s="33"/>
      <c r="S267" s="33"/>
      <c r="T267" s="430">
        <v>2457000</v>
      </c>
      <c r="U267" s="37">
        <f t="shared" si="21"/>
        <v>2751840.0000000005</v>
      </c>
      <c r="V267" s="15"/>
      <c r="W267" s="15">
        <v>2013</v>
      </c>
      <c r="X267" s="242"/>
      <c r="Y267" s="240"/>
      <c r="Z267" s="240"/>
      <c r="AA267" s="240"/>
      <c r="AB267" s="240"/>
      <c r="AC267" s="240"/>
      <c r="AD267" s="240"/>
      <c r="AE267" s="240"/>
      <c r="AF267" s="240"/>
      <c r="AG267" s="240"/>
      <c r="AH267" s="240"/>
      <c r="AI267" s="240"/>
      <c r="AJ267" s="240"/>
      <c r="AK267" s="240"/>
      <c r="AL267" s="240"/>
      <c r="AM267" s="240"/>
      <c r="AN267" s="240"/>
      <c r="AO267" s="240"/>
      <c r="AP267" s="240"/>
      <c r="AQ267" s="240"/>
      <c r="AR267" s="240"/>
      <c r="AS267" s="240"/>
      <c r="AT267" s="240"/>
      <c r="AU267" s="240"/>
      <c r="AV267" s="240"/>
      <c r="AW267" s="240"/>
      <c r="AX267" s="240"/>
      <c r="AY267" s="240"/>
      <c r="AZ267" s="240"/>
      <c r="BA267" s="240"/>
      <c r="BB267" s="240"/>
      <c r="BC267" s="240"/>
      <c r="BD267" s="240"/>
      <c r="BE267" s="240"/>
      <c r="BF267" s="240"/>
      <c r="BG267" s="240"/>
      <c r="BH267" s="240"/>
      <c r="BI267" s="240"/>
      <c r="BJ267" s="240"/>
      <c r="BK267" s="240"/>
      <c r="BL267" s="240"/>
      <c r="BM267" s="240"/>
      <c r="BN267" s="240"/>
      <c r="BO267" s="240"/>
      <c r="BP267" s="240"/>
      <c r="BQ267" s="240"/>
      <c r="BR267" s="240"/>
      <c r="BS267" s="240"/>
      <c r="BT267" s="240"/>
      <c r="BU267" s="240"/>
      <c r="BV267" s="240"/>
      <c r="BW267" s="240"/>
      <c r="BX267" s="240"/>
      <c r="BY267" s="240"/>
      <c r="BZ267" s="240"/>
      <c r="CA267" s="240"/>
      <c r="CB267" s="240"/>
      <c r="CC267" s="240"/>
      <c r="CD267" s="240"/>
      <c r="CE267" s="240"/>
      <c r="CF267" s="240"/>
      <c r="CG267" s="240"/>
      <c r="CH267" s="240"/>
      <c r="CI267" s="240"/>
      <c r="CJ267" s="240"/>
      <c r="CK267" s="240"/>
      <c r="CL267" s="240"/>
      <c r="CM267" s="240"/>
      <c r="CN267" s="240"/>
      <c r="CO267" s="240"/>
      <c r="CP267" s="240"/>
      <c r="CQ267" s="240"/>
      <c r="CR267" s="240"/>
      <c r="CS267" s="240"/>
      <c r="CT267" s="240"/>
      <c r="CU267" s="240"/>
      <c r="CV267" s="240"/>
      <c r="CW267" s="240"/>
      <c r="CX267" s="240"/>
      <c r="CY267" s="240"/>
      <c r="CZ267" s="240"/>
      <c r="DA267" s="240"/>
      <c r="DB267" s="240"/>
      <c r="DC267" s="240"/>
      <c r="DD267" s="240"/>
      <c r="DE267" s="240"/>
      <c r="DF267" s="240"/>
      <c r="DG267" s="240"/>
      <c r="DH267" s="240"/>
      <c r="DI267" s="240"/>
      <c r="DJ267" s="240"/>
      <c r="DK267" s="240"/>
      <c r="DL267" s="240"/>
      <c r="DM267" s="240"/>
      <c r="DN267" s="240"/>
      <c r="DO267" s="240"/>
      <c r="DP267" s="240"/>
      <c r="DQ267" s="240"/>
      <c r="DR267" s="240"/>
      <c r="DS267" s="240"/>
      <c r="DT267" s="240"/>
      <c r="DU267" s="240"/>
      <c r="DV267" s="240"/>
      <c r="DW267" s="240"/>
      <c r="DX267" s="240"/>
      <c r="DY267" s="240"/>
      <c r="DZ267" s="240"/>
      <c r="EA267" s="240"/>
      <c r="EB267" s="240"/>
      <c r="EC267" s="240"/>
      <c r="ED267" s="240"/>
      <c r="EE267" s="240"/>
      <c r="EF267" s="240"/>
      <c r="EG267" s="240"/>
      <c r="EH267" s="240"/>
      <c r="EI267" s="240"/>
      <c r="EJ267" s="240"/>
      <c r="EK267" s="240"/>
      <c r="EL267" s="240"/>
      <c r="EM267" s="240"/>
      <c r="EN267" s="240"/>
      <c r="EO267" s="240"/>
      <c r="EP267" s="240"/>
      <c r="EQ267" s="240"/>
      <c r="ER267" s="240"/>
      <c r="ES267" s="240"/>
      <c r="ET267" s="240"/>
      <c r="EU267" s="240"/>
      <c r="EV267" s="240"/>
      <c r="EW267" s="240"/>
      <c r="EX267" s="240"/>
      <c r="EY267" s="240"/>
      <c r="EZ267" s="240"/>
      <c r="FA267" s="240"/>
      <c r="FB267" s="240"/>
      <c r="FC267" s="240"/>
      <c r="FD267" s="240"/>
      <c r="FE267" s="240"/>
      <c r="FF267" s="240"/>
      <c r="FG267" s="240"/>
      <c r="FH267" s="240"/>
      <c r="FI267" s="240"/>
      <c r="FJ267" s="240"/>
      <c r="FK267" s="240"/>
      <c r="FL267" s="240"/>
      <c r="FM267" s="240"/>
      <c r="FN267" s="240"/>
      <c r="FO267" s="240"/>
      <c r="FP267" s="240"/>
      <c r="FQ267" s="240"/>
      <c r="FR267" s="240"/>
      <c r="FS267" s="240"/>
      <c r="FT267" s="240"/>
      <c r="FU267" s="240"/>
      <c r="FV267" s="240"/>
      <c r="FW267" s="240"/>
      <c r="FX267" s="240"/>
      <c r="FY267" s="240"/>
      <c r="FZ267" s="240"/>
      <c r="GA267" s="240"/>
      <c r="GB267" s="240"/>
      <c r="GC267" s="240"/>
      <c r="GD267" s="240"/>
      <c r="GE267" s="240"/>
      <c r="GF267" s="240"/>
      <c r="GG267" s="240"/>
      <c r="GH267" s="240"/>
      <c r="GI267" s="240"/>
      <c r="GJ267" s="240"/>
      <c r="GK267" s="240"/>
      <c r="GL267" s="240"/>
      <c r="GM267" s="240"/>
      <c r="GN267" s="240"/>
      <c r="GO267" s="240"/>
      <c r="GP267" s="240"/>
      <c r="GQ267" s="240"/>
      <c r="GR267" s="240"/>
      <c r="GS267" s="240"/>
      <c r="GT267" s="240"/>
      <c r="GU267" s="240"/>
      <c r="GV267" s="240"/>
      <c r="GW267" s="240"/>
      <c r="GX267" s="240"/>
      <c r="GY267" s="240"/>
      <c r="GZ267" s="240"/>
      <c r="HA267" s="240"/>
      <c r="HB267" s="240"/>
      <c r="HC267" s="240"/>
      <c r="HD267" s="240"/>
      <c r="HE267" s="240"/>
      <c r="HF267" s="240"/>
      <c r="HG267" s="240"/>
      <c r="HH267" s="240"/>
      <c r="HI267" s="240"/>
      <c r="HJ267" s="240"/>
      <c r="HK267" s="240"/>
      <c r="HL267" s="240"/>
      <c r="HM267" s="240"/>
      <c r="HN267" s="240"/>
      <c r="HO267" s="240"/>
      <c r="HP267" s="240"/>
      <c r="HQ267" s="240"/>
      <c r="HR267" s="240"/>
      <c r="HS267" s="240"/>
      <c r="HT267" s="240"/>
      <c r="HU267" s="240"/>
      <c r="HV267" s="240"/>
      <c r="HW267" s="240"/>
      <c r="HX267" s="240"/>
      <c r="HY267" s="240"/>
      <c r="HZ267" s="240"/>
      <c r="IA267" s="240"/>
      <c r="IB267" s="240"/>
      <c r="IC267" s="240"/>
      <c r="ID267" s="240"/>
      <c r="IE267" s="240"/>
      <c r="IF267" s="240"/>
      <c r="IG267" s="240"/>
      <c r="IH267" s="240"/>
      <c r="II267" s="240"/>
      <c r="IJ267" s="240"/>
      <c r="IK267" s="240"/>
      <c r="IL267" s="240"/>
      <c r="IM267" s="240"/>
      <c r="IN267" s="240"/>
      <c r="IO267" s="240"/>
      <c r="IP267" s="240"/>
      <c r="IQ267" s="240"/>
      <c r="IR267" s="240"/>
      <c r="IS267" s="240"/>
      <c r="IT267" s="240"/>
      <c r="IU267" s="240"/>
      <c r="IV267" s="240"/>
    </row>
    <row r="268" spans="1:24" ht="76.5">
      <c r="A268" s="193" t="s">
        <v>869</v>
      </c>
      <c r="B268" s="193" t="s">
        <v>422</v>
      </c>
      <c r="C268" s="269"/>
      <c r="D268" s="232" t="s">
        <v>597</v>
      </c>
      <c r="E268" s="232" t="s">
        <v>597</v>
      </c>
      <c r="F268" s="233"/>
      <c r="G268" s="293"/>
      <c r="H268" s="232"/>
      <c r="I268" s="234"/>
      <c r="J268" s="235" t="s">
        <v>589</v>
      </c>
      <c r="K268" s="232"/>
      <c r="L268" s="236"/>
      <c r="M268" s="232"/>
      <c r="N268" s="237"/>
      <c r="O268" s="237">
        <v>267300000</v>
      </c>
      <c r="P268" s="237">
        <v>273240000</v>
      </c>
      <c r="Q268" s="237">
        <v>279180000</v>
      </c>
      <c r="R268" s="237">
        <v>279180000</v>
      </c>
      <c r="S268" s="237"/>
      <c r="T268" s="237">
        <f>O268+P268+Q268+R268</f>
        <v>1098900000</v>
      </c>
      <c r="U268" s="238">
        <f aca="true" t="shared" si="22" ref="U268:U294">T268*1.12</f>
        <v>1230768000</v>
      </c>
      <c r="V268" s="232"/>
      <c r="W268" s="232">
        <v>2013</v>
      </c>
      <c r="X268" s="239"/>
    </row>
    <row r="269" spans="1:24" ht="76.5">
      <c r="A269" s="22" t="s">
        <v>870</v>
      </c>
      <c r="B269" s="22" t="s">
        <v>422</v>
      </c>
      <c r="C269" s="261" t="s">
        <v>603</v>
      </c>
      <c r="D269" s="67" t="s">
        <v>604</v>
      </c>
      <c r="E269" s="67" t="s">
        <v>604</v>
      </c>
      <c r="F269" s="15" t="s">
        <v>605</v>
      </c>
      <c r="G269" s="278"/>
      <c r="H269" s="15"/>
      <c r="I269" s="70"/>
      <c r="J269" s="68" t="s">
        <v>589</v>
      </c>
      <c r="K269" s="15"/>
      <c r="L269" s="68"/>
      <c r="M269" s="15"/>
      <c r="N269" s="33"/>
      <c r="O269" s="33">
        <v>310662000</v>
      </c>
      <c r="P269" s="33">
        <v>348678000</v>
      </c>
      <c r="Q269" s="33">
        <v>365161500</v>
      </c>
      <c r="R269" s="33">
        <v>378378000</v>
      </c>
      <c r="S269" s="33"/>
      <c r="T269" s="33">
        <f>O269+P269+Q269+R269</f>
        <v>1402879500</v>
      </c>
      <c r="U269" s="37">
        <f t="shared" si="22"/>
        <v>1571225040.0000002</v>
      </c>
      <c r="V269" s="15"/>
      <c r="W269" s="15">
        <v>2013</v>
      </c>
      <c r="X269" s="75"/>
    </row>
    <row r="270" spans="1:24" ht="76.5">
      <c r="A270" s="22" t="s">
        <v>871</v>
      </c>
      <c r="B270" s="22" t="s">
        <v>422</v>
      </c>
      <c r="C270" s="261" t="s">
        <v>606</v>
      </c>
      <c r="D270" s="67" t="s">
        <v>607</v>
      </c>
      <c r="E270" s="67" t="s">
        <v>607</v>
      </c>
      <c r="F270" s="15" t="s">
        <v>608</v>
      </c>
      <c r="G270" s="278"/>
      <c r="H270" s="15"/>
      <c r="I270" s="70"/>
      <c r="J270" s="68" t="s">
        <v>589</v>
      </c>
      <c r="K270" s="15"/>
      <c r="L270" s="68" t="s">
        <v>586</v>
      </c>
      <c r="M270" s="15"/>
      <c r="N270" s="33"/>
      <c r="O270" s="33">
        <v>439708500</v>
      </c>
      <c r="P270" s="33">
        <v>493465500</v>
      </c>
      <c r="Q270" s="33">
        <v>516780000</v>
      </c>
      <c r="R270" s="33">
        <v>535639500</v>
      </c>
      <c r="S270" s="33"/>
      <c r="T270" s="33">
        <f>O270+P270+Q270+R270</f>
        <v>1985593500</v>
      </c>
      <c r="U270" s="37">
        <f t="shared" si="22"/>
        <v>2223864720</v>
      </c>
      <c r="V270" s="15"/>
      <c r="W270" s="15">
        <v>2013</v>
      </c>
      <c r="X270" s="75"/>
    </row>
    <row r="271" spans="1:24" ht="25.5">
      <c r="A271" s="22" t="s">
        <v>981</v>
      </c>
      <c r="B271" s="22" t="s">
        <v>422</v>
      </c>
      <c r="C271" s="261" t="s">
        <v>982</v>
      </c>
      <c r="D271" s="67" t="s">
        <v>983</v>
      </c>
      <c r="E271" s="67" t="s">
        <v>984</v>
      </c>
      <c r="F271" s="15" t="s">
        <v>985</v>
      </c>
      <c r="G271" s="278"/>
      <c r="H271" s="15"/>
      <c r="I271" s="70"/>
      <c r="J271" s="68" t="s">
        <v>244</v>
      </c>
      <c r="K271" s="15"/>
      <c r="L271" s="68" t="s">
        <v>586</v>
      </c>
      <c r="M271" s="15"/>
      <c r="N271" s="33"/>
      <c r="O271" s="33">
        <v>20000000</v>
      </c>
      <c r="P271" s="33">
        <v>20000000</v>
      </c>
      <c r="Q271" s="33">
        <v>20000000</v>
      </c>
      <c r="R271" s="33"/>
      <c r="S271" s="33"/>
      <c r="T271" s="33">
        <f>O271+P271+Q271+R271</f>
        <v>60000000</v>
      </c>
      <c r="U271" s="37">
        <f t="shared" si="22"/>
        <v>67200000</v>
      </c>
      <c r="V271" s="15"/>
      <c r="W271" s="15">
        <v>2013</v>
      </c>
      <c r="X271" s="75"/>
    </row>
    <row r="272" spans="1:24" ht="76.5">
      <c r="A272" s="22" t="s">
        <v>872</v>
      </c>
      <c r="B272" s="42" t="s">
        <v>422</v>
      </c>
      <c r="C272" s="139"/>
      <c r="D272" s="139" t="s">
        <v>674</v>
      </c>
      <c r="E272" s="139" t="s">
        <v>609</v>
      </c>
      <c r="F272" s="228"/>
      <c r="G272" s="21"/>
      <c r="H272" s="139"/>
      <c r="I272" s="70"/>
      <c r="J272" s="68" t="s">
        <v>589</v>
      </c>
      <c r="K272" s="15"/>
      <c r="L272" s="68" t="s">
        <v>586</v>
      </c>
      <c r="M272" s="15"/>
      <c r="N272" s="33"/>
      <c r="O272" s="210">
        <v>602972200</v>
      </c>
      <c r="P272" s="210">
        <v>1173988600</v>
      </c>
      <c r="Q272" s="210">
        <v>486785200</v>
      </c>
      <c r="R272" s="210">
        <v>668008000</v>
      </c>
      <c r="S272" s="33"/>
      <c r="T272" s="33">
        <f>O272+P272+Q272+R272</f>
        <v>2931754000</v>
      </c>
      <c r="U272" s="37">
        <f t="shared" si="22"/>
        <v>3283564480.0000005</v>
      </c>
      <c r="V272" s="15"/>
      <c r="W272" s="15">
        <v>2013</v>
      </c>
      <c r="X272" s="15" t="s">
        <v>1085</v>
      </c>
    </row>
    <row r="273" spans="1:24" ht="76.5">
      <c r="A273" s="22" t="s">
        <v>9</v>
      </c>
      <c r="B273" s="22" t="s">
        <v>422</v>
      </c>
      <c r="C273" s="180" t="s">
        <v>509</v>
      </c>
      <c r="D273" s="180" t="s">
        <v>510</v>
      </c>
      <c r="E273" s="180" t="s">
        <v>524</v>
      </c>
      <c r="F273" s="216" t="s">
        <v>10</v>
      </c>
      <c r="G273" s="21" t="s">
        <v>242</v>
      </c>
      <c r="H273" s="15">
        <v>0</v>
      </c>
      <c r="I273" s="70">
        <v>41395</v>
      </c>
      <c r="J273" s="68" t="s">
        <v>589</v>
      </c>
      <c r="K273" s="15"/>
      <c r="L273" s="68" t="s">
        <v>586</v>
      </c>
      <c r="M273" s="15"/>
      <c r="N273" s="351">
        <v>2995730</v>
      </c>
      <c r="O273" s="351">
        <v>2752135</v>
      </c>
      <c r="P273" s="351">
        <v>2752135</v>
      </c>
      <c r="Q273" s="371"/>
      <c r="R273" s="33"/>
      <c r="S273" s="33"/>
      <c r="T273" s="33">
        <f>N273+O273+P273+R273</f>
        <v>8500000</v>
      </c>
      <c r="U273" s="37">
        <f t="shared" si="22"/>
        <v>9520000</v>
      </c>
      <c r="V273" s="15"/>
      <c r="W273" s="15">
        <v>2013</v>
      </c>
      <c r="X273" s="75"/>
    </row>
    <row r="274" spans="1:24" ht="63.75">
      <c r="A274" s="22" t="s">
        <v>47</v>
      </c>
      <c r="B274" s="22" t="s">
        <v>422</v>
      </c>
      <c r="C274" s="67" t="s">
        <v>48</v>
      </c>
      <c r="D274" s="67" t="s">
        <v>49</v>
      </c>
      <c r="E274" s="67" t="s">
        <v>49</v>
      </c>
      <c r="F274" s="211" t="s">
        <v>142</v>
      </c>
      <c r="G274" s="57" t="s">
        <v>242</v>
      </c>
      <c r="H274" s="232">
        <v>0</v>
      </c>
      <c r="I274" s="234">
        <v>41426</v>
      </c>
      <c r="J274" s="68" t="s">
        <v>40</v>
      </c>
      <c r="K274" s="15"/>
      <c r="L274" s="68" t="s">
        <v>586</v>
      </c>
      <c r="M274" s="15"/>
      <c r="N274" s="368">
        <v>800000</v>
      </c>
      <c r="O274" s="368">
        <v>800000</v>
      </c>
      <c r="P274" s="368">
        <v>800000</v>
      </c>
      <c r="Q274" s="368">
        <v>800000</v>
      </c>
      <c r="R274" s="368">
        <v>800000</v>
      </c>
      <c r="S274" s="33"/>
      <c r="T274" s="33">
        <f>N274+O274+P274+Q274+R274</f>
        <v>4000000</v>
      </c>
      <c r="U274" s="37">
        <f t="shared" si="22"/>
        <v>4480000</v>
      </c>
      <c r="V274" s="15"/>
      <c r="W274" s="15">
        <v>2013</v>
      </c>
      <c r="X274" s="75"/>
    </row>
    <row r="275" spans="1:24" ht="63.75">
      <c r="A275" s="22" t="s">
        <v>1044</v>
      </c>
      <c r="B275" s="22" t="s">
        <v>422</v>
      </c>
      <c r="C275" s="447" t="s">
        <v>1045</v>
      </c>
      <c r="D275" s="447" t="s">
        <v>1046</v>
      </c>
      <c r="E275" s="224" t="s">
        <v>1046</v>
      </c>
      <c r="F275" s="446" t="s">
        <v>1047</v>
      </c>
      <c r="G275" s="57" t="s">
        <v>944</v>
      </c>
      <c r="H275" s="232">
        <v>0</v>
      </c>
      <c r="I275" s="234" t="s">
        <v>1048</v>
      </c>
      <c r="J275" s="68" t="s">
        <v>1049</v>
      </c>
      <c r="K275" s="15"/>
      <c r="L275" s="68" t="s">
        <v>586</v>
      </c>
      <c r="M275" s="15"/>
      <c r="N275" s="368">
        <v>1223000</v>
      </c>
      <c r="O275" s="368">
        <v>1223000</v>
      </c>
      <c r="P275" s="368">
        <v>1223000</v>
      </c>
      <c r="Q275" s="368"/>
      <c r="R275" s="368"/>
      <c r="S275" s="33"/>
      <c r="T275" s="33">
        <v>0</v>
      </c>
      <c r="U275" s="37">
        <f t="shared" si="22"/>
        <v>0</v>
      </c>
      <c r="V275" s="15"/>
      <c r="W275" s="15">
        <v>2013</v>
      </c>
      <c r="X275" s="75" t="s">
        <v>927</v>
      </c>
    </row>
    <row r="276" spans="1:24" ht="38.25" customHeight="1">
      <c r="A276" s="22" t="s">
        <v>1066</v>
      </c>
      <c r="B276" s="22" t="s">
        <v>422</v>
      </c>
      <c r="C276" s="211" t="s">
        <v>1067</v>
      </c>
      <c r="D276" s="211" t="s">
        <v>1068</v>
      </c>
      <c r="E276" s="211" t="s">
        <v>1069</v>
      </c>
      <c r="F276" s="449" t="s">
        <v>1070</v>
      </c>
      <c r="G276" s="211" t="s">
        <v>242</v>
      </c>
      <c r="H276" s="232">
        <v>0</v>
      </c>
      <c r="I276" s="212" t="s">
        <v>1071</v>
      </c>
      <c r="J276" s="212" t="s">
        <v>1072</v>
      </c>
      <c r="K276" s="15"/>
      <c r="L276" s="212" t="s">
        <v>1073</v>
      </c>
      <c r="M276" s="15"/>
      <c r="N276" s="368"/>
      <c r="O276" s="368">
        <v>30600000</v>
      </c>
      <c r="P276" s="368">
        <v>30600000</v>
      </c>
      <c r="Q276" s="368">
        <v>30600000</v>
      </c>
      <c r="R276" s="368"/>
      <c r="S276" s="33"/>
      <c r="T276" s="33">
        <v>0</v>
      </c>
      <c r="U276" s="37">
        <f t="shared" si="22"/>
        <v>0</v>
      </c>
      <c r="V276" s="15"/>
      <c r="W276" s="15">
        <v>2013</v>
      </c>
      <c r="X276" s="75" t="s">
        <v>927</v>
      </c>
    </row>
    <row r="277" spans="1:24" ht="76.5">
      <c r="A277" s="22" t="s">
        <v>895</v>
      </c>
      <c r="B277" s="193" t="s">
        <v>422</v>
      </c>
      <c r="C277" s="352" t="s">
        <v>912</v>
      </c>
      <c r="D277" s="353" t="s">
        <v>913</v>
      </c>
      <c r="E277" s="353" t="s">
        <v>913</v>
      </c>
      <c r="F277" s="354" t="s">
        <v>914</v>
      </c>
      <c r="G277" s="354" t="s">
        <v>242</v>
      </c>
      <c r="H277" s="193">
        <v>0</v>
      </c>
      <c r="I277" s="234" t="s">
        <v>879</v>
      </c>
      <c r="J277" s="68" t="s">
        <v>216</v>
      </c>
      <c r="K277" s="15"/>
      <c r="L277" s="68" t="s">
        <v>915</v>
      </c>
      <c r="M277" s="15"/>
      <c r="N277" s="182">
        <v>82008382.5</v>
      </c>
      <c r="O277" s="182">
        <v>70829005.5</v>
      </c>
      <c r="P277" s="182">
        <v>64865988</v>
      </c>
      <c r="Q277" s="182">
        <v>58992664.5</v>
      </c>
      <c r="R277" s="182">
        <v>52717203</v>
      </c>
      <c r="S277" s="33"/>
      <c r="T277" s="32">
        <v>600347880</v>
      </c>
      <c r="U277" s="37">
        <f t="shared" si="22"/>
        <v>672389625.6</v>
      </c>
      <c r="V277" s="15"/>
      <c r="W277" s="15">
        <v>2013</v>
      </c>
      <c r="X277" s="75"/>
    </row>
    <row r="278" spans="1:24" ht="76.5">
      <c r="A278" s="22" t="s">
        <v>937</v>
      </c>
      <c r="B278" s="22" t="s">
        <v>422</v>
      </c>
      <c r="C278" s="270" t="s">
        <v>912</v>
      </c>
      <c r="D278" s="181" t="s">
        <v>913</v>
      </c>
      <c r="E278" s="181" t="s">
        <v>913</v>
      </c>
      <c r="F278" s="17" t="s">
        <v>938</v>
      </c>
      <c r="G278" s="294" t="s">
        <v>242</v>
      </c>
      <c r="H278" s="22">
        <v>0</v>
      </c>
      <c r="I278" s="70" t="s">
        <v>885</v>
      </c>
      <c r="J278" s="68" t="s">
        <v>216</v>
      </c>
      <c r="K278" s="15"/>
      <c r="L278" s="68" t="s">
        <v>915</v>
      </c>
      <c r="M278" s="15"/>
      <c r="N278" s="213">
        <v>130358326</v>
      </c>
      <c r="O278" s="213">
        <v>201385711</v>
      </c>
      <c r="P278" s="213">
        <v>185459761</v>
      </c>
      <c r="Q278" s="213">
        <v>169259727</v>
      </c>
      <c r="R278" s="213">
        <v>152780891</v>
      </c>
      <c r="S278" s="33"/>
      <c r="T278" s="32">
        <v>1430448960</v>
      </c>
      <c r="U278" s="37">
        <f t="shared" si="22"/>
        <v>1602102835.2</v>
      </c>
      <c r="V278" s="15"/>
      <c r="W278" s="15">
        <v>2013</v>
      </c>
      <c r="X278" s="75"/>
    </row>
    <row r="279" spans="1:24" ht="63.75">
      <c r="A279" s="22" t="s">
        <v>910</v>
      </c>
      <c r="B279" s="22" t="s">
        <v>422</v>
      </c>
      <c r="C279" s="271" t="s">
        <v>896</v>
      </c>
      <c r="D279" s="175" t="s">
        <v>897</v>
      </c>
      <c r="E279" s="175" t="s">
        <v>898</v>
      </c>
      <c r="F279" s="175" t="s">
        <v>899</v>
      </c>
      <c r="G279" s="278" t="s">
        <v>257</v>
      </c>
      <c r="H279" s="15">
        <v>0</v>
      </c>
      <c r="I279" s="70" t="s">
        <v>556</v>
      </c>
      <c r="J279" s="68" t="s">
        <v>216</v>
      </c>
      <c r="K279" s="15"/>
      <c r="L279" s="68" t="s">
        <v>586</v>
      </c>
      <c r="M279" s="15"/>
      <c r="N279" s="33">
        <v>2406267.5</v>
      </c>
      <c r="O279" s="33">
        <v>2406267.5</v>
      </c>
      <c r="P279" s="33">
        <v>2406267.5</v>
      </c>
      <c r="R279" s="33"/>
      <c r="S279" s="33"/>
      <c r="T279" s="33">
        <v>7218802.5</v>
      </c>
      <c r="U279" s="37">
        <f t="shared" si="22"/>
        <v>8085058.800000001</v>
      </c>
      <c r="V279" s="15"/>
      <c r="W279" s="15">
        <v>2013</v>
      </c>
      <c r="X279" s="75"/>
    </row>
    <row r="280" spans="1:28" s="41" customFormat="1" ht="51">
      <c r="A280" s="22" t="s">
        <v>916</v>
      </c>
      <c r="B280" s="22" t="s">
        <v>422</v>
      </c>
      <c r="C280" s="87" t="s">
        <v>29</v>
      </c>
      <c r="D280" s="22" t="s">
        <v>30</v>
      </c>
      <c r="E280" s="22" t="s">
        <v>30</v>
      </c>
      <c r="F280" s="15" t="s">
        <v>32</v>
      </c>
      <c r="G280" s="221" t="s">
        <v>242</v>
      </c>
      <c r="H280" s="22">
        <v>0</v>
      </c>
      <c r="I280" s="76" t="s">
        <v>31</v>
      </c>
      <c r="J280" s="184" t="s">
        <v>911</v>
      </c>
      <c r="K280" s="22"/>
      <c r="L280" s="185" t="s">
        <v>909</v>
      </c>
      <c r="M280" s="87"/>
      <c r="N280" s="179">
        <v>18468688</v>
      </c>
      <c r="O280" s="179">
        <v>24671061</v>
      </c>
      <c r="P280" s="179">
        <v>25866094</v>
      </c>
      <c r="Q280" s="72"/>
      <c r="R280" s="72"/>
      <c r="S280" s="37"/>
      <c r="T280" s="37">
        <v>69005843</v>
      </c>
      <c r="U280" s="37">
        <f t="shared" si="22"/>
        <v>77286544.16000001</v>
      </c>
      <c r="V280" s="22"/>
      <c r="W280" s="22">
        <v>2013</v>
      </c>
      <c r="X280" s="82"/>
      <c r="Y280" s="86"/>
      <c r="Z280" s="86"/>
      <c r="AA280" s="86"/>
      <c r="AB280" s="86"/>
    </row>
    <row r="281" spans="1:28" s="41" customFormat="1" ht="76.5">
      <c r="A281" s="22" t="s">
        <v>917</v>
      </c>
      <c r="B281" s="22" t="s">
        <v>422</v>
      </c>
      <c r="C281" s="270" t="s">
        <v>509</v>
      </c>
      <c r="D281" s="180" t="s">
        <v>510</v>
      </c>
      <c r="E281" s="180" t="s">
        <v>524</v>
      </c>
      <c r="F281" s="180" t="s">
        <v>918</v>
      </c>
      <c r="G281" s="221" t="s">
        <v>242</v>
      </c>
      <c r="H281" s="22">
        <v>0</v>
      </c>
      <c r="I281" s="76" t="s">
        <v>885</v>
      </c>
      <c r="J281" s="180" t="s">
        <v>919</v>
      </c>
      <c r="K281" s="22"/>
      <c r="L281" s="68" t="s">
        <v>586</v>
      </c>
      <c r="M281" s="87"/>
      <c r="N281" s="179">
        <v>25236962.2</v>
      </c>
      <c r="O281" s="179">
        <v>21335756.4</v>
      </c>
      <c r="P281" s="179">
        <v>24512736</v>
      </c>
      <c r="Q281" s="179">
        <v>28189646.4</v>
      </c>
      <c r="R281" s="72"/>
      <c r="S281" s="37"/>
      <c r="T281" s="37">
        <v>99275101</v>
      </c>
      <c r="U281" s="37">
        <f t="shared" si="22"/>
        <v>111188113.12</v>
      </c>
      <c r="V281" s="22"/>
      <c r="W281" s="22">
        <v>2013</v>
      </c>
      <c r="X281" s="82"/>
      <c r="Y281" s="86"/>
      <c r="Z281" s="86"/>
      <c r="AA281" s="86"/>
      <c r="AB281" s="86"/>
    </row>
    <row r="282" spans="1:28" s="41" customFormat="1" ht="76.5">
      <c r="A282" s="42" t="s">
        <v>923</v>
      </c>
      <c r="B282" s="42" t="s">
        <v>422</v>
      </c>
      <c r="C282" s="272" t="s">
        <v>509</v>
      </c>
      <c r="D282" s="197" t="s">
        <v>510</v>
      </c>
      <c r="E282" s="198" t="s">
        <v>524</v>
      </c>
      <c r="F282" s="199" t="s">
        <v>924</v>
      </c>
      <c r="G282" s="295" t="s">
        <v>257</v>
      </c>
      <c r="H282" s="85">
        <v>0</v>
      </c>
      <c r="I282" s="200">
        <v>41365</v>
      </c>
      <c r="J282" s="201" t="s">
        <v>589</v>
      </c>
      <c r="K282" s="42"/>
      <c r="L282" s="202" t="s">
        <v>925</v>
      </c>
      <c r="M282" s="203"/>
      <c r="N282" s="204">
        <v>23762960</v>
      </c>
      <c r="O282" s="204">
        <v>5062150</v>
      </c>
      <c r="P282" s="204">
        <v>12238260</v>
      </c>
      <c r="Q282" s="204">
        <v>11965350</v>
      </c>
      <c r="R282" s="190">
        <v>11965350</v>
      </c>
      <c r="S282" s="205"/>
      <c r="T282" s="205">
        <v>64994070</v>
      </c>
      <c r="U282" s="205">
        <f t="shared" si="22"/>
        <v>72793358.4</v>
      </c>
      <c r="V282" s="42"/>
      <c r="W282" s="22">
        <v>2013</v>
      </c>
      <c r="X282" s="82"/>
      <c r="Y282" s="86"/>
      <c r="Z282" s="86"/>
      <c r="AA282" s="86"/>
      <c r="AB282" s="86"/>
    </row>
    <row r="283" spans="1:28" s="41" customFormat="1" ht="76.5">
      <c r="A283" s="22" t="s">
        <v>932</v>
      </c>
      <c r="B283" s="22" t="s">
        <v>422</v>
      </c>
      <c r="C283" s="273" t="s">
        <v>933</v>
      </c>
      <c r="D283" s="17" t="s">
        <v>934</v>
      </c>
      <c r="E283" s="17" t="s">
        <v>935</v>
      </c>
      <c r="F283" s="211" t="s">
        <v>936</v>
      </c>
      <c r="G283" s="221" t="s">
        <v>257</v>
      </c>
      <c r="H283" s="22">
        <v>0</v>
      </c>
      <c r="I283" s="76">
        <v>41365</v>
      </c>
      <c r="J283" s="212" t="s">
        <v>894</v>
      </c>
      <c r="K283" s="22"/>
      <c r="L283" s="211" t="s">
        <v>234</v>
      </c>
      <c r="M283" s="22"/>
      <c r="N283" s="210">
        <v>377633.33</v>
      </c>
      <c r="O283" s="210">
        <v>377633.33</v>
      </c>
      <c r="P283" s="210">
        <v>377633.33</v>
      </c>
      <c r="Q283" s="210"/>
      <c r="R283" s="72"/>
      <c r="S283" s="37"/>
      <c r="T283" s="37">
        <v>1132899.99</v>
      </c>
      <c r="U283" s="37">
        <f t="shared" si="22"/>
        <v>1268847.9888000002</v>
      </c>
      <c r="V283" s="22"/>
      <c r="W283" s="22">
        <v>2013</v>
      </c>
      <c r="X283" s="82"/>
      <c r="Y283" s="86"/>
      <c r="Z283" s="86"/>
      <c r="AA283" s="86"/>
      <c r="AB283" s="86"/>
    </row>
    <row r="284" spans="1:28" s="41" customFormat="1" ht="38.25">
      <c r="A284" s="22" t="s">
        <v>939</v>
      </c>
      <c r="B284" s="22" t="s">
        <v>422</v>
      </c>
      <c r="C284" s="273" t="s">
        <v>940</v>
      </c>
      <c r="D284" s="17" t="s">
        <v>941</v>
      </c>
      <c r="E284" s="17" t="s">
        <v>942</v>
      </c>
      <c r="F284" s="211" t="s">
        <v>943</v>
      </c>
      <c r="G284" s="221" t="s">
        <v>944</v>
      </c>
      <c r="H284" s="22">
        <v>0</v>
      </c>
      <c r="I284" s="76">
        <v>41365</v>
      </c>
      <c r="J284" s="212" t="s">
        <v>894</v>
      </c>
      <c r="K284" s="22"/>
      <c r="L284" s="68" t="s">
        <v>586</v>
      </c>
      <c r="M284" s="22"/>
      <c r="N284" s="210">
        <v>500000</v>
      </c>
      <c r="O284" s="210">
        <v>500000</v>
      </c>
      <c r="P284" s="210">
        <v>500000</v>
      </c>
      <c r="Q284" s="210"/>
      <c r="R284" s="72"/>
      <c r="S284" s="37"/>
      <c r="T284" s="37">
        <v>1500000</v>
      </c>
      <c r="U284" s="37">
        <f t="shared" si="22"/>
        <v>1680000.0000000002</v>
      </c>
      <c r="V284" s="22"/>
      <c r="W284" s="22">
        <v>2013</v>
      </c>
      <c r="X284" s="82"/>
      <c r="Y284" s="86"/>
      <c r="Z284" s="86"/>
      <c r="AA284" s="86"/>
      <c r="AB284" s="86"/>
    </row>
    <row r="285" spans="1:28" s="41" customFormat="1" ht="51">
      <c r="A285" s="22" t="s">
        <v>951</v>
      </c>
      <c r="B285" s="22" t="s">
        <v>422</v>
      </c>
      <c r="C285" s="274" t="s">
        <v>839</v>
      </c>
      <c r="D285" s="67" t="s">
        <v>840</v>
      </c>
      <c r="E285" s="67" t="s">
        <v>840</v>
      </c>
      <c r="F285" s="15" t="s">
        <v>954</v>
      </c>
      <c r="G285" s="221" t="s">
        <v>242</v>
      </c>
      <c r="H285" s="22">
        <v>0</v>
      </c>
      <c r="I285" s="76">
        <v>41395</v>
      </c>
      <c r="J285" s="218" t="s">
        <v>959</v>
      </c>
      <c r="K285" s="22"/>
      <c r="L285" s="217" t="s">
        <v>961</v>
      </c>
      <c r="M285" s="22"/>
      <c r="N285" s="182">
        <v>84835525</v>
      </c>
      <c r="O285" s="182">
        <v>118251886.5</v>
      </c>
      <c r="P285" s="182">
        <v>118251886.5</v>
      </c>
      <c r="Q285" s="210"/>
      <c r="R285" s="72"/>
      <c r="S285" s="37"/>
      <c r="T285" s="37">
        <f aca="true" t="shared" si="23" ref="T285:T290">N285+O285+P285</f>
        <v>321339298</v>
      </c>
      <c r="U285" s="37">
        <f t="shared" si="22"/>
        <v>359900013.76000005</v>
      </c>
      <c r="V285" s="22"/>
      <c r="W285" s="22">
        <v>2013</v>
      </c>
      <c r="X285" s="82"/>
      <c r="Y285" s="86"/>
      <c r="Z285" s="86"/>
      <c r="AA285" s="86"/>
      <c r="AB285" s="86"/>
    </row>
    <row r="286" spans="1:28" s="41" customFormat="1" ht="51">
      <c r="A286" s="22" t="s">
        <v>952</v>
      </c>
      <c r="B286" s="22" t="s">
        <v>422</v>
      </c>
      <c r="C286" s="274" t="s">
        <v>839</v>
      </c>
      <c r="D286" s="67" t="s">
        <v>840</v>
      </c>
      <c r="E286" s="67" t="s">
        <v>840</v>
      </c>
      <c r="F286" s="15" t="s">
        <v>955</v>
      </c>
      <c r="G286" s="221" t="s">
        <v>242</v>
      </c>
      <c r="H286" s="22">
        <v>0</v>
      </c>
      <c r="I286" s="76">
        <v>41395</v>
      </c>
      <c r="J286" s="218" t="s">
        <v>960</v>
      </c>
      <c r="K286" s="22"/>
      <c r="L286" s="217" t="s">
        <v>961</v>
      </c>
      <c r="M286" s="22"/>
      <c r="N286" s="182">
        <v>7500000</v>
      </c>
      <c r="O286" s="182">
        <v>7500000</v>
      </c>
      <c r="P286" s="182">
        <v>7500000</v>
      </c>
      <c r="Q286" s="210"/>
      <c r="R286" s="72"/>
      <c r="S286" s="37"/>
      <c r="T286" s="37">
        <f t="shared" si="23"/>
        <v>22500000</v>
      </c>
      <c r="U286" s="37">
        <f t="shared" si="22"/>
        <v>25200000.000000004</v>
      </c>
      <c r="V286" s="22"/>
      <c r="W286" s="22">
        <v>2013</v>
      </c>
      <c r="X286" s="82"/>
      <c r="Y286" s="86"/>
      <c r="Z286" s="86"/>
      <c r="AA286" s="86"/>
      <c r="AB286" s="86"/>
    </row>
    <row r="287" spans="1:28" s="41" customFormat="1" ht="51">
      <c r="A287" s="22" t="s">
        <v>953</v>
      </c>
      <c r="B287" s="42" t="s">
        <v>422</v>
      </c>
      <c r="C287" s="370" t="s">
        <v>956</v>
      </c>
      <c r="D287" s="369" t="s">
        <v>957</v>
      </c>
      <c r="E287" s="369" t="s">
        <v>957</v>
      </c>
      <c r="F287" s="139" t="s">
        <v>958</v>
      </c>
      <c r="G287" s="286" t="s">
        <v>242</v>
      </c>
      <c r="H287" s="22">
        <v>0</v>
      </c>
      <c r="I287" s="76">
        <v>41395</v>
      </c>
      <c r="J287" s="218" t="s">
        <v>960</v>
      </c>
      <c r="K287" s="22"/>
      <c r="L287" s="217" t="s">
        <v>961</v>
      </c>
      <c r="M287" s="22"/>
      <c r="N287" s="182">
        <v>1175229</v>
      </c>
      <c r="O287" s="182">
        <v>1175229</v>
      </c>
      <c r="P287" s="182">
        <v>1175229</v>
      </c>
      <c r="Q287" s="210"/>
      <c r="R287" s="72"/>
      <c r="S287" s="37"/>
      <c r="T287" s="37">
        <f t="shared" si="23"/>
        <v>3525687</v>
      </c>
      <c r="U287" s="37">
        <f t="shared" si="22"/>
        <v>3948769.4400000004</v>
      </c>
      <c r="V287" s="22"/>
      <c r="W287" s="22">
        <v>2013</v>
      </c>
      <c r="X287" s="82"/>
      <c r="Y287" s="86"/>
      <c r="Z287" s="86"/>
      <c r="AA287" s="86"/>
      <c r="AB287" s="86"/>
    </row>
    <row r="288" spans="1:28" s="41" customFormat="1" ht="76.5">
      <c r="A288" s="22" t="s">
        <v>42</v>
      </c>
      <c r="B288" s="22" t="s">
        <v>422</v>
      </c>
      <c r="C288" s="385" t="s">
        <v>43</v>
      </c>
      <c r="D288" s="139" t="s">
        <v>44</v>
      </c>
      <c r="E288" s="139" t="s">
        <v>45</v>
      </c>
      <c r="F288" s="139" t="s">
        <v>46</v>
      </c>
      <c r="G288" s="22" t="s">
        <v>242</v>
      </c>
      <c r="H288" s="22">
        <v>0</v>
      </c>
      <c r="I288" s="200">
        <v>41426</v>
      </c>
      <c r="J288" s="387" t="s">
        <v>134</v>
      </c>
      <c r="K288" s="22"/>
      <c r="L288" s="389" t="s">
        <v>961</v>
      </c>
      <c r="M288" s="22"/>
      <c r="N288" s="247">
        <v>2500000</v>
      </c>
      <c r="O288" s="247">
        <v>2000000</v>
      </c>
      <c r="P288" s="182"/>
      <c r="Q288" s="210"/>
      <c r="R288" s="72"/>
      <c r="S288" s="37"/>
      <c r="T288" s="205">
        <f t="shared" si="23"/>
        <v>4500000</v>
      </c>
      <c r="U288" s="37">
        <f t="shared" si="22"/>
        <v>5040000.000000001</v>
      </c>
      <c r="V288" s="22"/>
      <c r="W288" s="22">
        <v>2013</v>
      </c>
      <c r="X288" s="82"/>
      <c r="Y288" s="86"/>
      <c r="Z288" s="86"/>
      <c r="AA288" s="86"/>
      <c r="AB288" s="86"/>
    </row>
    <row r="289" spans="1:28" s="41" customFormat="1" ht="76.5">
      <c r="A289" s="22" t="s">
        <v>641</v>
      </c>
      <c r="B289" s="22" t="s">
        <v>422</v>
      </c>
      <c r="C289" s="67" t="s">
        <v>643</v>
      </c>
      <c r="D289" s="67" t="s">
        <v>644</v>
      </c>
      <c r="E289" s="67" t="s">
        <v>645</v>
      </c>
      <c r="F289" s="211" t="s">
        <v>646</v>
      </c>
      <c r="G289" s="22" t="s">
        <v>242</v>
      </c>
      <c r="H289" s="22">
        <v>0</v>
      </c>
      <c r="I289" s="212" t="s">
        <v>648</v>
      </c>
      <c r="J289" s="387" t="s">
        <v>134</v>
      </c>
      <c r="K289" s="22"/>
      <c r="L289" s="389" t="s">
        <v>961</v>
      </c>
      <c r="M289" s="22"/>
      <c r="N289" s="247">
        <v>1500000</v>
      </c>
      <c r="O289" s="247">
        <v>1500000</v>
      </c>
      <c r="P289" s="182"/>
      <c r="Q289" s="210"/>
      <c r="R289" s="72"/>
      <c r="S289" s="37"/>
      <c r="T289" s="205">
        <f t="shared" si="23"/>
        <v>3000000</v>
      </c>
      <c r="U289" s="37">
        <f t="shared" si="22"/>
        <v>3360000.0000000005</v>
      </c>
      <c r="V289" s="22"/>
      <c r="W289" s="22">
        <v>2013</v>
      </c>
      <c r="X289" s="82"/>
      <c r="Y289" s="86"/>
      <c r="Z289" s="86"/>
      <c r="AA289" s="86"/>
      <c r="AB289" s="86"/>
    </row>
    <row r="290" spans="1:28" s="41" customFormat="1" ht="63.75">
      <c r="A290" s="22" t="s">
        <v>642</v>
      </c>
      <c r="B290" s="22" t="s">
        <v>422</v>
      </c>
      <c r="C290" s="67" t="s">
        <v>643</v>
      </c>
      <c r="D290" s="67" t="s">
        <v>644</v>
      </c>
      <c r="E290" s="67" t="s">
        <v>645</v>
      </c>
      <c r="F290" s="211" t="s">
        <v>647</v>
      </c>
      <c r="G290" s="22" t="s">
        <v>242</v>
      </c>
      <c r="H290" s="22">
        <v>0</v>
      </c>
      <c r="I290" s="212" t="s">
        <v>649</v>
      </c>
      <c r="J290" s="387" t="s">
        <v>134</v>
      </c>
      <c r="K290" s="22"/>
      <c r="L290" s="389" t="s">
        <v>961</v>
      </c>
      <c r="M290" s="22"/>
      <c r="N290" s="247">
        <v>1500000</v>
      </c>
      <c r="O290" s="247">
        <v>1500000</v>
      </c>
      <c r="P290" s="182"/>
      <c r="Q290" s="210"/>
      <c r="R290" s="72"/>
      <c r="S290" s="37"/>
      <c r="T290" s="205">
        <f t="shared" si="23"/>
        <v>3000000</v>
      </c>
      <c r="U290" s="37">
        <f t="shared" si="22"/>
        <v>3360000.0000000005</v>
      </c>
      <c r="V290" s="22"/>
      <c r="W290" s="22">
        <v>2013</v>
      </c>
      <c r="X290" s="82"/>
      <c r="Y290" s="86"/>
      <c r="Z290" s="86"/>
      <c r="AA290" s="86"/>
      <c r="AB290" s="86"/>
    </row>
    <row r="291" spans="1:24" s="83" customFormat="1" ht="63.75">
      <c r="A291" s="193" t="s">
        <v>120</v>
      </c>
      <c r="B291" s="87" t="s">
        <v>422</v>
      </c>
      <c r="C291" s="67" t="s">
        <v>124</v>
      </c>
      <c r="D291" s="67" t="s">
        <v>125</v>
      </c>
      <c r="E291" s="67" t="s">
        <v>126</v>
      </c>
      <c r="F291" s="15" t="s">
        <v>127</v>
      </c>
      <c r="G291" s="287" t="s">
        <v>242</v>
      </c>
      <c r="H291" s="378">
        <v>100</v>
      </c>
      <c r="I291" s="386" t="s">
        <v>117</v>
      </c>
      <c r="J291" s="65" t="s">
        <v>136</v>
      </c>
      <c r="K291" s="388"/>
      <c r="L291" s="15" t="s">
        <v>119</v>
      </c>
      <c r="M291" s="388"/>
      <c r="N291" s="391">
        <v>910000</v>
      </c>
      <c r="O291" s="391">
        <v>2730000</v>
      </c>
      <c r="P291" s="390"/>
      <c r="Q291" s="383"/>
      <c r="R291" s="192"/>
      <c r="S291" s="393"/>
      <c r="T291" s="121">
        <v>3640000</v>
      </c>
      <c r="U291" s="37">
        <f t="shared" si="22"/>
        <v>4076800.0000000005</v>
      </c>
      <c r="V291" s="193"/>
      <c r="W291" s="22">
        <v>2013</v>
      </c>
      <c r="X291" s="384"/>
    </row>
    <row r="292" spans="1:24" s="83" customFormat="1" ht="63.75">
      <c r="A292" s="193" t="s">
        <v>121</v>
      </c>
      <c r="B292" s="87" t="s">
        <v>422</v>
      </c>
      <c r="C292" s="67" t="s">
        <v>128</v>
      </c>
      <c r="D292" s="67" t="s">
        <v>125</v>
      </c>
      <c r="E292" s="67" t="s">
        <v>126</v>
      </c>
      <c r="F292" s="15" t="s">
        <v>129</v>
      </c>
      <c r="G292" s="287" t="s">
        <v>242</v>
      </c>
      <c r="H292" s="378">
        <v>100</v>
      </c>
      <c r="I292" s="386" t="s">
        <v>117</v>
      </c>
      <c r="J292" s="65" t="s">
        <v>135</v>
      </c>
      <c r="K292" s="388"/>
      <c r="L292" s="15" t="s">
        <v>119</v>
      </c>
      <c r="M292" s="388"/>
      <c r="N292" s="392">
        <v>490000</v>
      </c>
      <c r="O292" s="392">
        <v>1470000</v>
      </c>
      <c r="P292" s="390"/>
      <c r="Q292" s="383"/>
      <c r="R292" s="192"/>
      <c r="S292" s="393"/>
      <c r="T292" s="121">
        <v>1960000</v>
      </c>
      <c r="U292" s="37">
        <f t="shared" si="22"/>
        <v>2195200</v>
      </c>
      <c r="V292" s="193"/>
      <c r="W292" s="22">
        <v>2013</v>
      </c>
      <c r="X292" s="384"/>
    </row>
    <row r="293" spans="1:24" s="83" customFormat="1" ht="38.25">
      <c r="A293" s="193" t="s">
        <v>122</v>
      </c>
      <c r="B293" s="87" t="s">
        <v>422</v>
      </c>
      <c r="C293" s="67" t="s">
        <v>130</v>
      </c>
      <c r="D293" s="67" t="s">
        <v>131</v>
      </c>
      <c r="E293" s="67" t="s">
        <v>131</v>
      </c>
      <c r="F293" s="15" t="s">
        <v>132</v>
      </c>
      <c r="G293" s="287" t="s">
        <v>242</v>
      </c>
      <c r="H293" s="378">
        <v>100</v>
      </c>
      <c r="I293" s="386" t="s">
        <v>117</v>
      </c>
      <c r="J293" s="65" t="s">
        <v>136</v>
      </c>
      <c r="K293" s="388"/>
      <c r="L293" s="15" t="s">
        <v>119</v>
      </c>
      <c r="M293" s="388"/>
      <c r="N293" s="351">
        <v>592515</v>
      </c>
      <c r="O293" s="351">
        <v>1777545</v>
      </c>
      <c r="P293" s="390"/>
      <c r="Q293" s="383"/>
      <c r="R293" s="192"/>
      <c r="S293" s="393"/>
      <c r="T293" s="121">
        <v>2370060</v>
      </c>
      <c r="U293" s="37">
        <f t="shared" si="22"/>
        <v>2654467.2</v>
      </c>
      <c r="V293" s="193"/>
      <c r="W293" s="22">
        <v>2013</v>
      </c>
      <c r="X293" s="384"/>
    </row>
    <row r="294" spans="1:24" s="83" customFormat="1" ht="38.25">
      <c r="A294" s="193" t="s">
        <v>123</v>
      </c>
      <c r="B294" s="87" t="s">
        <v>422</v>
      </c>
      <c r="C294" s="67" t="s">
        <v>130</v>
      </c>
      <c r="D294" s="67" t="s">
        <v>131</v>
      </c>
      <c r="E294" s="67" t="s">
        <v>131</v>
      </c>
      <c r="F294" s="15" t="s">
        <v>133</v>
      </c>
      <c r="G294" s="287" t="s">
        <v>242</v>
      </c>
      <c r="H294" s="378">
        <v>100</v>
      </c>
      <c r="I294" s="386" t="s">
        <v>117</v>
      </c>
      <c r="J294" s="65" t="s">
        <v>135</v>
      </c>
      <c r="K294" s="388"/>
      <c r="L294" s="15" t="s">
        <v>119</v>
      </c>
      <c r="M294" s="388"/>
      <c r="N294" s="182">
        <v>319646.25</v>
      </c>
      <c r="O294" s="182">
        <v>958938.75</v>
      </c>
      <c r="P294" s="390"/>
      <c r="Q294" s="383"/>
      <c r="R294" s="192"/>
      <c r="S294" s="393"/>
      <c r="T294" s="121">
        <v>1278585</v>
      </c>
      <c r="U294" s="37">
        <f t="shared" si="22"/>
        <v>1432015.2000000002</v>
      </c>
      <c r="V294" s="193"/>
      <c r="W294" s="22">
        <v>2013</v>
      </c>
      <c r="X294" s="384"/>
    </row>
    <row r="295" spans="1:24" s="83" customFormat="1" ht="114.75">
      <c r="A295" s="193" t="s">
        <v>636</v>
      </c>
      <c r="B295" s="87" t="s">
        <v>422</v>
      </c>
      <c r="C295" s="67" t="s">
        <v>637</v>
      </c>
      <c r="D295" s="67" t="s">
        <v>638</v>
      </c>
      <c r="E295" s="67" t="s">
        <v>639</v>
      </c>
      <c r="F295" s="15" t="s">
        <v>358</v>
      </c>
      <c r="G295" s="287" t="s">
        <v>242</v>
      </c>
      <c r="H295" s="378">
        <v>0</v>
      </c>
      <c r="I295" s="386" t="s">
        <v>117</v>
      </c>
      <c r="J295" s="65" t="s">
        <v>640</v>
      </c>
      <c r="K295" s="388"/>
      <c r="L295" s="15" t="s">
        <v>119</v>
      </c>
      <c r="M295" s="388"/>
      <c r="N295" s="182">
        <v>19305000</v>
      </c>
      <c r="O295" s="182">
        <v>22200750</v>
      </c>
      <c r="P295" s="390"/>
      <c r="Q295" s="383"/>
      <c r="R295" s="192"/>
      <c r="S295" s="393"/>
      <c r="T295" s="121">
        <v>41505750</v>
      </c>
      <c r="U295" s="37">
        <f aca="true" t="shared" si="24" ref="U295:U304">T295*1.12</f>
        <v>46486440.00000001</v>
      </c>
      <c r="V295" s="193"/>
      <c r="W295" s="22">
        <v>2013</v>
      </c>
      <c r="X295" s="384"/>
    </row>
    <row r="296" spans="1:24" s="83" customFormat="1" ht="63.75">
      <c r="A296" s="193" t="s">
        <v>656</v>
      </c>
      <c r="B296" s="87" t="s">
        <v>422</v>
      </c>
      <c r="C296" s="217" t="s">
        <v>657</v>
      </c>
      <c r="D296" s="15" t="s">
        <v>658</v>
      </c>
      <c r="E296" s="15" t="s">
        <v>659</v>
      </c>
      <c r="F296" s="15" t="s">
        <v>660</v>
      </c>
      <c r="G296" s="287" t="s">
        <v>257</v>
      </c>
      <c r="H296" s="378">
        <v>0</v>
      </c>
      <c r="I296" s="65" t="s">
        <v>661</v>
      </c>
      <c r="J296" s="65" t="s">
        <v>662</v>
      </c>
      <c r="K296" s="388"/>
      <c r="L296" s="15" t="s">
        <v>119</v>
      </c>
      <c r="M296" s="388"/>
      <c r="N296" s="407">
        <v>1944445</v>
      </c>
      <c r="O296" s="407">
        <v>4666667</v>
      </c>
      <c r="P296" s="407">
        <v>4666667</v>
      </c>
      <c r="Q296" s="407">
        <v>2722221</v>
      </c>
      <c r="R296" s="192"/>
      <c r="S296" s="393"/>
      <c r="T296" s="121">
        <v>14000000</v>
      </c>
      <c r="U296" s="37">
        <f t="shared" si="24"/>
        <v>15680000.000000002</v>
      </c>
      <c r="V296" s="193"/>
      <c r="W296" s="22">
        <v>2013</v>
      </c>
      <c r="X296" s="384"/>
    </row>
    <row r="297" spans="1:24" s="83" customFormat="1" ht="63.75">
      <c r="A297" s="193" t="s">
        <v>663</v>
      </c>
      <c r="B297" s="87" t="s">
        <v>422</v>
      </c>
      <c r="C297" s="215" t="s">
        <v>664</v>
      </c>
      <c r="D297" s="215" t="s">
        <v>665</v>
      </c>
      <c r="E297" s="215" t="s">
        <v>666</v>
      </c>
      <c r="F297" s="215" t="s">
        <v>667</v>
      </c>
      <c r="G297" s="287" t="s">
        <v>257</v>
      </c>
      <c r="H297" s="378">
        <v>0</v>
      </c>
      <c r="I297" s="65">
        <v>41487</v>
      </c>
      <c r="J297" s="65" t="s">
        <v>407</v>
      </c>
      <c r="K297" s="388"/>
      <c r="L297" s="15" t="s">
        <v>119</v>
      </c>
      <c r="M297" s="388"/>
      <c r="N297" s="407">
        <v>4600000</v>
      </c>
      <c r="O297" s="407">
        <v>27540000</v>
      </c>
      <c r="P297" s="407">
        <v>28366200</v>
      </c>
      <c r="Q297" s="407">
        <v>29217186</v>
      </c>
      <c r="R297" s="192">
        <v>30093700</v>
      </c>
      <c r="S297" s="393"/>
      <c r="T297" s="121">
        <v>119817086</v>
      </c>
      <c r="U297" s="37">
        <f t="shared" si="24"/>
        <v>134195136.32000001</v>
      </c>
      <c r="V297" s="193"/>
      <c r="W297" s="22">
        <v>2013</v>
      </c>
      <c r="X297" s="384"/>
    </row>
    <row r="298" spans="1:24" s="83" customFormat="1" ht="127.5">
      <c r="A298" s="193" t="s">
        <v>359</v>
      </c>
      <c r="B298" s="87" t="s">
        <v>422</v>
      </c>
      <c r="C298" s="15" t="s">
        <v>360</v>
      </c>
      <c r="D298" s="15" t="s">
        <v>361</v>
      </c>
      <c r="E298" s="15" t="s">
        <v>361</v>
      </c>
      <c r="F298" s="15" t="s">
        <v>362</v>
      </c>
      <c r="G298" s="287" t="s">
        <v>242</v>
      </c>
      <c r="H298" s="378">
        <v>0</v>
      </c>
      <c r="I298" s="412">
        <v>41518</v>
      </c>
      <c r="J298" s="65" t="s">
        <v>407</v>
      </c>
      <c r="K298" s="388"/>
      <c r="L298" s="15" t="s">
        <v>363</v>
      </c>
      <c r="M298" s="388"/>
      <c r="N298" s="407">
        <v>77500000</v>
      </c>
      <c r="O298" s="407">
        <v>46500000</v>
      </c>
      <c r="P298" s="407"/>
      <c r="Q298" s="407"/>
      <c r="R298" s="192"/>
      <c r="S298" s="393"/>
      <c r="T298" s="121">
        <v>0</v>
      </c>
      <c r="U298" s="37">
        <f t="shared" si="24"/>
        <v>0</v>
      </c>
      <c r="V298" s="193"/>
      <c r="W298" s="22">
        <v>2013</v>
      </c>
      <c r="X298" s="193" t="s">
        <v>927</v>
      </c>
    </row>
    <row r="299" spans="1:24" s="83" customFormat="1" ht="98.25" customHeight="1">
      <c r="A299" s="193" t="s">
        <v>368</v>
      </c>
      <c r="B299" s="87" t="s">
        <v>422</v>
      </c>
      <c r="C299" s="180" t="s">
        <v>370</v>
      </c>
      <c r="D299" s="180" t="s">
        <v>371</v>
      </c>
      <c r="E299" s="180" t="s">
        <v>372</v>
      </c>
      <c r="F299" s="180" t="s">
        <v>372</v>
      </c>
      <c r="G299" s="180" t="s">
        <v>944</v>
      </c>
      <c r="H299" s="378">
        <v>0</v>
      </c>
      <c r="I299" s="180" t="s">
        <v>376</v>
      </c>
      <c r="J299" s="65" t="s">
        <v>407</v>
      </c>
      <c r="K299" s="388"/>
      <c r="L299" s="180" t="s">
        <v>377</v>
      </c>
      <c r="M299" s="388"/>
      <c r="N299" s="422">
        <v>418880</v>
      </c>
      <c r="O299" s="422">
        <v>1256640</v>
      </c>
      <c r="P299" s="422">
        <v>1256640</v>
      </c>
      <c r="Q299" s="422">
        <v>837760</v>
      </c>
      <c r="R299" s="82"/>
      <c r="S299" s="393"/>
      <c r="T299" s="415">
        <v>0</v>
      </c>
      <c r="U299" s="37">
        <f t="shared" si="24"/>
        <v>0</v>
      </c>
      <c r="V299" s="193"/>
      <c r="W299" s="22">
        <v>2013</v>
      </c>
      <c r="X299" s="193" t="s">
        <v>927</v>
      </c>
    </row>
    <row r="300" spans="1:24" s="83" customFormat="1" ht="98.25" customHeight="1">
      <c r="A300" s="193" t="s">
        <v>61</v>
      </c>
      <c r="B300" s="87" t="s">
        <v>422</v>
      </c>
      <c r="C300" s="180" t="s">
        <v>370</v>
      </c>
      <c r="D300" s="180" t="s">
        <v>371</v>
      </c>
      <c r="E300" s="180" t="s">
        <v>372</v>
      </c>
      <c r="F300" s="180" t="s">
        <v>372</v>
      </c>
      <c r="G300" s="180" t="s">
        <v>944</v>
      </c>
      <c r="H300" s="378">
        <v>0</v>
      </c>
      <c r="I300" s="180" t="s">
        <v>376</v>
      </c>
      <c r="J300" s="65" t="s">
        <v>407</v>
      </c>
      <c r="K300" s="388"/>
      <c r="L300" s="180" t="s">
        <v>377</v>
      </c>
      <c r="M300" s="388"/>
      <c r="N300" s="415">
        <v>440000</v>
      </c>
      <c r="O300" s="415">
        <v>1320000</v>
      </c>
      <c r="P300" s="415">
        <v>1320000</v>
      </c>
      <c r="Q300" s="415">
        <v>880000</v>
      </c>
      <c r="R300" s="82"/>
      <c r="S300" s="393"/>
      <c r="T300" s="415">
        <v>3960000</v>
      </c>
      <c r="U300" s="37">
        <f>T300*1.12</f>
        <v>4435200</v>
      </c>
      <c r="V300" s="193"/>
      <c r="W300" s="22">
        <v>2013</v>
      </c>
      <c r="X300" s="193"/>
    </row>
    <row r="301" spans="1:24" s="83" customFormat="1" ht="76.5">
      <c r="A301" s="193" t="s">
        <v>369</v>
      </c>
      <c r="B301" s="87" t="s">
        <v>422</v>
      </c>
      <c r="C301" s="180" t="s">
        <v>373</v>
      </c>
      <c r="D301" s="180" t="s">
        <v>374</v>
      </c>
      <c r="E301" s="180" t="s">
        <v>375</v>
      </c>
      <c r="F301" s="180" t="s">
        <v>375</v>
      </c>
      <c r="G301" s="180" t="s">
        <v>944</v>
      </c>
      <c r="H301" s="378">
        <v>0</v>
      </c>
      <c r="I301" s="180" t="s">
        <v>376</v>
      </c>
      <c r="J301" s="65" t="s">
        <v>407</v>
      </c>
      <c r="K301" s="388"/>
      <c r="L301" s="180" t="s">
        <v>377</v>
      </c>
      <c r="M301" s="388"/>
      <c r="N301" s="423">
        <v>47600</v>
      </c>
      <c r="O301" s="423">
        <v>142800</v>
      </c>
      <c r="P301" s="423">
        <v>142800</v>
      </c>
      <c r="Q301" s="423">
        <v>95200</v>
      </c>
      <c r="R301" s="82"/>
      <c r="S301" s="393"/>
      <c r="T301" s="415">
        <v>0</v>
      </c>
      <c r="U301" s="37">
        <f t="shared" si="24"/>
        <v>0</v>
      </c>
      <c r="V301" s="193"/>
      <c r="W301" s="22">
        <v>2013</v>
      </c>
      <c r="X301" s="193" t="s">
        <v>927</v>
      </c>
    </row>
    <row r="302" spans="1:24" s="83" customFormat="1" ht="76.5">
      <c r="A302" s="193" t="s">
        <v>62</v>
      </c>
      <c r="B302" s="87" t="s">
        <v>422</v>
      </c>
      <c r="C302" s="180" t="s">
        <v>373</v>
      </c>
      <c r="D302" s="180" t="s">
        <v>374</v>
      </c>
      <c r="E302" s="180" t="s">
        <v>375</v>
      </c>
      <c r="F302" s="180" t="s">
        <v>375</v>
      </c>
      <c r="G302" s="180" t="s">
        <v>944</v>
      </c>
      <c r="H302" s="378">
        <v>0</v>
      </c>
      <c r="I302" s="180" t="s">
        <v>376</v>
      </c>
      <c r="J302" s="65" t="s">
        <v>407</v>
      </c>
      <c r="K302" s="388"/>
      <c r="L302" s="180" t="s">
        <v>377</v>
      </c>
      <c r="M302" s="388"/>
      <c r="N302" s="415">
        <v>52000</v>
      </c>
      <c r="O302" s="415">
        <v>156000</v>
      </c>
      <c r="P302" s="415">
        <v>156000</v>
      </c>
      <c r="Q302" s="415">
        <v>104000</v>
      </c>
      <c r="R302" s="82"/>
      <c r="S302" s="393"/>
      <c r="T302" s="415">
        <v>468000</v>
      </c>
      <c r="U302" s="37">
        <f>T302*1.12</f>
        <v>524160.00000000006</v>
      </c>
      <c r="V302" s="193"/>
      <c r="W302" s="22">
        <v>2013</v>
      </c>
      <c r="X302" s="193"/>
    </row>
    <row r="303" spans="1:24" s="83" customFormat="1" ht="38.25">
      <c r="A303" s="193" t="s">
        <v>379</v>
      </c>
      <c r="B303" s="87" t="s">
        <v>422</v>
      </c>
      <c r="C303" s="180" t="s">
        <v>381</v>
      </c>
      <c r="D303" s="180" t="s">
        <v>382</v>
      </c>
      <c r="E303" s="180" t="s">
        <v>383</v>
      </c>
      <c r="F303" s="180" t="s">
        <v>384</v>
      </c>
      <c r="G303" s="180" t="s">
        <v>944</v>
      </c>
      <c r="H303" s="378">
        <v>0</v>
      </c>
      <c r="I303" s="180" t="s">
        <v>376</v>
      </c>
      <c r="J303" s="65" t="s">
        <v>407</v>
      </c>
      <c r="K303" s="388"/>
      <c r="L303" s="180" t="s">
        <v>377</v>
      </c>
      <c r="M303" s="388"/>
      <c r="N303" s="415">
        <v>470400</v>
      </c>
      <c r="O303" s="415">
        <v>1411200</v>
      </c>
      <c r="P303" s="415">
        <v>1411200</v>
      </c>
      <c r="Q303" s="415">
        <v>940800</v>
      </c>
      <c r="R303" s="82"/>
      <c r="S303" s="393"/>
      <c r="T303" s="415">
        <v>4233600</v>
      </c>
      <c r="U303" s="37">
        <f t="shared" si="24"/>
        <v>4741632</v>
      </c>
      <c r="V303" s="193"/>
      <c r="W303" s="22">
        <v>2013</v>
      </c>
      <c r="X303" s="193"/>
    </row>
    <row r="304" spans="1:24" s="83" customFormat="1" ht="38.25">
      <c r="A304" s="193" t="s">
        <v>380</v>
      </c>
      <c r="B304" s="87" t="s">
        <v>422</v>
      </c>
      <c r="C304" s="180" t="s">
        <v>381</v>
      </c>
      <c r="D304" s="180" t="s">
        <v>382</v>
      </c>
      <c r="E304" s="180" t="s">
        <v>383</v>
      </c>
      <c r="F304" s="180" t="s">
        <v>385</v>
      </c>
      <c r="G304" s="180" t="s">
        <v>944</v>
      </c>
      <c r="H304" s="378">
        <v>0</v>
      </c>
      <c r="I304" s="180" t="s">
        <v>376</v>
      </c>
      <c r="J304" s="65" t="s">
        <v>407</v>
      </c>
      <c r="K304" s="388"/>
      <c r="L304" s="180" t="s">
        <v>377</v>
      </c>
      <c r="M304" s="388"/>
      <c r="N304" s="415">
        <v>126000</v>
      </c>
      <c r="O304" s="415">
        <v>378000</v>
      </c>
      <c r="P304" s="415">
        <v>378000</v>
      </c>
      <c r="Q304" s="415">
        <v>252000</v>
      </c>
      <c r="R304" s="82"/>
      <c r="S304" s="393"/>
      <c r="T304" s="415">
        <v>1134000</v>
      </c>
      <c r="U304" s="37">
        <f t="shared" si="24"/>
        <v>1270080.0000000002</v>
      </c>
      <c r="V304" s="193"/>
      <c r="W304" s="22">
        <v>2013</v>
      </c>
      <c r="X304" s="193"/>
    </row>
    <row r="305" spans="1:24" s="83" customFormat="1" ht="140.25">
      <c r="A305" s="193" t="s">
        <v>65</v>
      </c>
      <c r="B305" s="87" t="s">
        <v>422</v>
      </c>
      <c r="C305" s="217" t="s">
        <v>66</v>
      </c>
      <c r="D305" s="15" t="s">
        <v>67</v>
      </c>
      <c r="E305" s="15" t="s">
        <v>68</v>
      </c>
      <c r="F305" s="15" t="s">
        <v>69</v>
      </c>
      <c r="G305" s="180" t="s">
        <v>257</v>
      </c>
      <c r="H305" s="378">
        <v>0</v>
      </c>
      <c r="I305" s="65" t="s">
        <v>64</v>
      </c>
      <c r="J305" s="65" t="s">
        <v>407</v>
      </c>
      <c r="K305" s="388"/>
      <c r="L305" s="180" t="s">
        <v>377</v>
      </c>
      <c r="M305" s="388"/>
      <c r="N305" s="415">
        <v>177412</v>
      </c>
      <c r="O305" s="415">
        <v>354822.1</v>
      </c>
      <c r="P305" s="415"/>
      <c r="Q305" s="415"/>
      <c r="R305" s="82"/>
      <c r="S305" s="393"/>
      <c r="T305" s="415">
        <f>N305+O305</f>
        <v>532234.1</v>
      </c>
      <c r="U305" s="37">
        <f aca="true" t="shared" si="25" ref="U305:U310">T305*1.12</f>
        <v>596102.192</v>
      </c>
      <c r="V305" s="193"/>
      <c r="W305" s="22">
        <v>2013</v>
      </c>
      <c r="X305" s="193"/>
    </row>
    <row r="306" spans="1:24" s="83" customFormat="1" ht="76.5">
      <c r="A306" s="193" t="s">
        <v>1006</v>
      </c>
      <c r="B306" s="87" t="s">
        <v>422</v>
      </c>
      <c r="C306" s="162" t="s">
        <v>1008</v>
      </c>
      <c r="D306" s="162" t="s">
        <v>1009</v>
      </c>
      <c r="E306" s="162" t="s">
        <v>1010</v>
      </c>
      <c r="F306" s="162" t="s">
        <v>1011</v>
      </c>
      <c r="G306" s="180" t="s">
        <v>242</v>
      </c>
      <c r="H306" s="378">
        <v>0</v>
      </c>
      <c r="I306" s="442" t="s">
        <v>1016</v>
      </c>
      <c r="J306" s="65" t="s">
        <v>407</v>
      </c>
      <c r="K306" s="388"/>
      <c r="L306" s="180" t="s">
        <v>377</v>
      </c>
      <c r="M306" s="388"/>
      <c r="N306" s="351"/>
      <c r="O306" s="351">
        <v>229500000</v>
      </c>
      <c r="P306" s="351">
        <v>229500000</v>
      </c>
      <c r="Q306" s="351">
        <v>229500000</v>
      </c>
      <c r="R306" s="351">
        <v>229500000</v>
      </c>
      <c r="S306" s="393"/>
      <c r="T306" s="415">
        <f>O306+P306+Q306+R306</f>
        <v>918000000</v>
      </c>
      <c r="U306" s="37">
        <f t="shared" si="25"/>
        <v>1028160000.0000001</v>
      </c>
      <c r="V306" s="193"/>
      <c r="W306" s="22">
        <v>2013</v>
      </c>
      <c r="X306" s="193"/>
    </row>
    <row r="307" spans="1:24" s="83" customFormat="1" ht="63.75">
      <c r="A307" s="193" t="s">
        <v>1007</v>
      </c>
      <c r="B307" s="87" t="s">
        <v>422</v>
      </c>
      <c r="C307" s="443" t="s">
        <v>1012</v>
      </c>
      <c r="D307" s="443" t="s">
        <v>1013</v>
      </c>
      <c r="E307" s="443" t="s">
        <v>1014</v>
      </c>
      <c r="F307" s="443" t="s">
        <v>1015</v>
      </c>
      <c r="G307" s="180" t="s">
        <v>242</v>
      </c>
      <c r="H307" s="378">
        <v>0</v>
      </c>
      <c r="I307" s="442" t="s">
        <v>1016</v>
      </c>
      <c r="J307" s="65" t="s">
        <v>407</v>
      </c>
      <c r="K307" s="388"/>
      <c r="L307" s="180" t="s">
        <v>377</v>
      </c>
      <c r="M307" s="388"/>
      <c r="N307" s="351"/>
      <c r="O307" s="351">
        <v>1135500000</v>
      </c>
      <c r="P307" s="351">
        <v>1135500000</v>
      </c>
      <c r="Q307" s="351">
        <v>1135500000</v>
      </c>
      <c r="R307" s="351">
        <v>1135500000</v>
      </c>
      <c r="S307" s="393"/>
      <c r="T307" s="415">
        <f>O307+P307+Q307+R307</f>
        <v>4542000000</v>
      </c>
      <c r="U307" s="37">
        <f t="shared" si="25"/>
        <v>5087040000.000001</v>
      </c>
      <c r="V307" s="193"/>
      <c r="W307" s="22">
        <v>2013</v>
      </c>
      <c r="X307" s="193"/>
    </row>
    <row r="308" spans="1:24" s="83" customFormat="1" ht="63.75">
      <c r="A308" s="193" t="s">
        <v>1026</v>
      </c>
      <c r="B308" s="87" t="s">
        <v>422</v>
      </c>
      <c r="C308" s="22" t="s">
        <v>1028</v>
      </c>
      <c r="D308" s="22" t="s">
        <v>1029</v>
      </c>
      <c r="E308" s="22" t="s">
        <v>1030</v>
      </c>
      <c r="F308" s="22" t="s">
        <v>1031</v>
      </c>
      <c r="G308" s="444" t="s">
        <v>242</v>
      </c>
      <c r="H308" s="378">
        <v>0</v>
      </c>
      <c r="I308" s="442" t="s">
        <v>1016</v>
      </c>
      <c r="J308" s="65" t="s">
        <v>407</v>
      </c>
      <c r="K308" s="388"/>
      <c r="L308" s="420" t="s">
        <v>377</v>
      </c>
      <c r="M308" s="388"/>
      <c r="N308" s="436"/>
      <c r="O308" s="436">
        <v>4729900</v>
      </c>
      <c r="P308" s="436">
        <v>28196700</v>
      </c>
      <c r="Q308" s="436">
        <v>28196700</v>
      </c>
      <c r="R308" s="436">
        <v>28196700</v>
      </c>
      <c r="S308" s="393"/>
      <c r="T308" s="445">
        <f>O308+P308+Q308+R308</f>
        <v>89320000</v>
      </c>
      <c r="U308" s="37">
        <f t="shared" si="25"/>
        <v>100038400.00000001</v>
      </c>
      <c r="V308" s="193"/>
      <c r="W308" s="22">
        <v>2013</v>
      </c>
      <c r="X308" s="193"/>
    </row>
    <row r="309" spans="1:24" s="83" customFormat="1" ht="63.75">
      <c r="A309" s="193" t="s">
        <v>1027</v>
      </c>
      <c r="B309" s="87" t="s">
        <v>422</v>
      </c>
      <c r="C309" s="22" t="s">
        <v>1028</v>
      </c>
      <c r="D309" s="22" t="s">
        <v>1029</v>
      </c>
      <c r="E309" s="22" t="s">
        <v>1030</v>
      </c>
      <c r="F309" s="22" t="s">
        <v>1032</v>
      </c>
      <c r="G309" s="444" t="s">
        <v>242</v>
      </c>
      <c r="H309" s="378">
        <v>0</v>
      </c>
      <c r="I309" s="442" t="s">
        <v>1016</v>
      </c>
      <c r="J309" s="65" t="s">
        <v>118</v>
      </c>
      <c r="K309" s="388"/>
      <c r="L309" s="420" t="s">
        <v>377</v>
      </c>
      <c r="M309" s="388"/>
      <c r="N309" s="436"/>
      <c r="O309" s="436">
        <v>3227700</v>
      </c>
      <c r="P309" s="436">
        <v>19224100</v>
      </c>
      <c r="Q309" s="436">
        <v>19224100</v>
      </c>
      <c r="R309" s="436">
        <v>19224100</v>
      </c>
      <c r="S309" s="393"/>
      <c r="T309" s="445">
        <f>O309+P309+Q309+R309</f>
        <v>60900000</v>
      </c>
      <c r="U309" s="37">
        <f t="shared" si="25"/>
        <v>68208000</v>
      </c>
      <c r="V309" s="193"/>
      <c r="W309" s="22">
        <v>2013</v>
      </c>
      <c r="X309" s="193"/>
    </row>
    <row r="310" spans="1:24" s="83" customFormat="1" ht="25.5">
      <c r="A310" s="193" t="s">
        <v>1060</v>
      </c>
      <c r="B310" s="87" t="s">
        <v>422</v>
      </c>
      <c r="C310" s="447" t="s">
        <v>876</v>
      </c>
      <c r="D310" s="447" t="s">
        <v>877</v>
      </c>
      <c r="E310" s="447" t="s">
        <v>877</v>
      </c>
      <c r="F310" s="448" t="s">
        <v>1061</v>
      </c>
      <c r="G310" s="444" t="s">
        <v>257</v>
      </c>
      <c r="H310" s="378">
        <v>0</v>
      </c>
      <c r="I310" s="442" t="s">
        <v>1062</v>
      </c>
      <c r="J310" s="65" t="s">
        <v>118</v>
      </c>
      <c r="K310" s="388"/>
      <c r="L310" s="420" t="s">
        <v>377</v>
      </c>
      <c r="M310" s="388"/>
      <c r="N310" s="436">
        <v>6356035.2</v>
      </c>
      <c r="O310" s="436">
        <v>38136211.2</v>
      </c>
      <c r="P310" s="436">
        <v>38136211.2</v>
      </c>
      <c r="Q310" s="436">
        <v>25424140.8</v>
      </c>
      <c r="R310" s="436"/>
      <c r="S310" s="393"/>
      <c r="T310" s="445">
        <f>N310+O310+P310+Q310+R310</f>
        <v>108052598.4</v>
      </c>
      <c r="U310" s="37">
        <f t="shared" si="25"/>
        <v>121018910.20800002</v>
      </c>
      <c r="V310" s="193"/>
      <c r="W310" s="22">
        <v>2013</v>
      </c>
      <c r="X310" s="193"/>
    </row>
    <row r="311" spans="1:24" s="83" customFormat="1" ht="38.25">
      <c r="A311" s="193" t="s">
        <v>1080</v>
      </c>
      <c r="B311" s="87" t="s">
        <v>422</v>
      </c>
      <c r="C311" s="452" t="s">
        <v>839</v>
      </c>
      <c r="D311" s="452" t="s">
        <v>840</v>
      </c>
      <c r="E311" s="452" t="s">
        <v>840</v>
      </c>
      <c r="F311" s="453" t="s">
        <v>1079</v>
      </c>
      <c r="G311" s="444" t="s">
        <v>257</v>
      </c>
      <c r="H311" s="378">
        <v>0</v>
      </c>
      <c r="I311" s="442" t="s">
        <v>1062</v>
      </c>
      <c r="J311" s="65" t="s">
        <v>1081</v>
      </c>
      <c r="K311" s="388"/>
      <c r="L311" s="420" t="s">
        <v>377</v>
      </c>
      <c r="M311" s="388"/>
      <c r="N311" s="436">
        <v>131250</v>
      </c>
      <c r="O311" s="436">
        <v>590625</v>
      </c>
      <c r="P311" s="436">
        <v>590625</v>
      </c>
      <c r="Q311" s="436"/>
      <c r="R311" s="436"/>
      <c r="S311" s="393"/>
      <c r="T311" s="445">
        <f>N311+O311+P311+Q311+R311</f>
        <v>1312500</v>
      </c>
      <c r="U311" s="37">
        <f>T311*1.12</f>
        <v>1470000.0000000002</v>
      </c>
      <c r="V311" s="193"/>
      <c r="W311" s="22">
        <v>2013</v>
      </c>
      <c r="X311" s="193"/>
    </row>
    <row r="312" spans="1:24" s="83" customFormat="1" ht="38.25">
      <c r="A312" s="193" t="s">
        <v>1086</v>
      </c>
      <c r="B312" s="87" t="s">
        <v>422</v>
      </c>
      <c r="C312" s="15" t="s">
        <v>1022</v>
      </c>
      <c r="D312" s="17" t="s">
        <v>1023</v>
      </c>
      <c r="E312" s="17" t="s">
        <v>1023</v>
      </c>
      <c r="F312" s="17" t="s">
        <v>1087</v>
      </c>
      <c r="G312" s="444" t="s">
        <v>257</v>
      </c>
      <c r="H312" s="378">
        <v>0</v>
      </c>
      <c r="I312" s="212" t="s">
        <v>1088</v>
      </c>
      <c r="J312" s="212" t="s">
        <v>1089</v>
      </c>
      <c r="K312" s="388"/>
      <c r="L312" s="420" t="s">
        <v>377</v>
      </c>
      <c r="M312" s="388"/>
      <c r="N312" s="210">
        <v>1400000</v>
      </c>
      <c r="O312" s="210">
        <v>8400000</v>
      </c>
      <c r="P312" s="436"/>
      <c r="Q312" s="436"/>
      <c r="R312" s="436"/>
      <c r="S312" s="393"/>
      <c r="T312" s="445">
        <f>N312+O312+P312+Q312+R312</f>
        <v>9800000</v>
      </c>
      <c r="U312" s="37">
        <f>T312*1.12</f>
        <v>10976000.000000002</v>
      </c>
      <c r="V312" s="193"/>
      <c r="W312" s="22">
        <v>2013</v>
      </c>
      <c r="X312" s="193"/>
    </row>
    <row r="313" spans="1:24" s="83" customFormat="1" ht="38.25">
      <c r="A313" s="193" t="s">
        <v>1090</v>
      </c>
      <c r="B313" s="87" t="s">
        <v>422</v>
      </c>
      <c r="C313" s="22" t="s">
        <v>1091</v>
      </c>
      <c r="D313" s="449" t="s">
        <v>1092</v>
      </c>
      <c r="E313" s="449" t="s">
        <v>1092</v>
      </c>
      <c r="F313" s="449" t="s">
        <v>1093</v>
      </c>
      <c r="G313" s="444" t="s">
        <v>242</v>
      </c>
      <c r="H313" s="378">
        <v>0</v>
      </c>
      <c r="I313" s="212" t="s">
        <v>1088</v>
      </c>
      <c r="J313" s="212" t="s">
        <v>1094</v>
      </c>
      <c r="K313" s="388"/>
      <c r="L313" s="420" t="s">
        <v>377</v>
      </c>
      <c r="M313" s="388"/>
      <c r="N313" s="210">
        <v>3400000</v>
      </c>
      <c r="O313" s="210">
        <v>40800000</v>
      </c>
      <c r="P313" s="210">
        <v>40800000</v>
      </c>
      <c r="Q313" s="436"/>
      <c r="R313" s="436"/>
      <c r="S313" s="393"/>
      <c r="T313" s="445">
        <f>N313+O313+P313+Q313+R313</f>
        <v>85000000</v>
      </c>
      <c r="U313" s="37">
        <f>T313*1.12</f>
        <v>95200000.00000001</v>
      </c>
      <c r="V313" s="193"/>
      <c r="W313" s="22">
        <v>2013</v>
      </c>
      <c r="X313" s="193"/>
    </row>
    <row r="314" spans="1:24" ht="12.75">
      <c r="A314" s="206" t="s">
        <v>670</v>
      </c>
      <c r="B314" s="183"/>
      <c r="C314" s="275"/>
      <c r="D314" s="183"/>
      <c r="E314" s="183"/>
      <c r="F314" s="183"/>
      <c r="G314" s="296"/>
      <c r="H314" s="183"/>
      <c r="I314" s="183"/>
      <c r="J314" s="183"/>
      <c r="K314" s="183"/>
      <c r="L314" s="183"/>
      <c r="M314" s="183"/>
      <c r="N314" s="183"/>
      <c r="O314" s="207"/>
      <c r="P314" s="207"/>
      <c r="Q314" s="207"/>
      <c r="R314" s="207"/>
      <c r="S314" s="183"/>
      <c r="T314" s="208">
        <f>SUM(T112:T313)</f>
        <v>354418303691.9231</v>
      </c>
      <c r="U314" s="209">
        <f>T314*1.12</f>
        <v>396948500134.9539</v>
      </c>
      <c r="V314" s="183"/>
      <c r="W314" s="183"/>
      <c r="X314" s="183"/>
    </row>
    <row r="315" spans="1:43" ht="12.75">
      <c r="A315" s="155" t="s">
        <v>671</v>
      </c>
      <c r="B315" s="125"/>
      <c r="C315" s="276"/>
      <c r="D315" s="127"/>
      <c r="E315" s="126"/>
      <c r="F315" s="127"/>
      <c r="G315" s="297"/>
      <c r="H315" s="126"/>
      <c r="I315" s="126"/>
      <c r="J315" s="126"/>
      <c r="K315" s="127"/>
      <c r="L315" s="127"/>
      <c r="M315" s="127"/>
      <c r="N315" s="126"/>
      <c r="O315" s="127"/>
      <c r="P315" s="127"/>
      <c r="Q315" s="126"/>
      <c r="R315" s="126"/>
      <c r="S315" s="128"/>
      <c r="T315" s="169">
        <f>T83+T110+T314</f>
        <v>522908481404.92993</v>
      </c>
      <c r="U315" s="169">
        <f>T315*1.12</f>
        <v>585657499173.5216</v>
      </c>
      <c r="V315" s="129"/>
      <c r="W315" s="126"/>
      <c r="X315" s="126"/>
      <c r="Y315" s="92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</row>
    <row r="316" spans="1:43" ht="12.75">
      <c r="A316" s="140"/>
      <c r="B316" s="17"/>
      <c r="C316" s="277"/>
      <c r="D316" s="156"/>
      <c r="E316" s="156"/>
      <c r="F316" s="156"/>
      <c r="G316" s="298"/>
      <c r="H316" s="156"/>
      <c r="I316" s="15"/>
      <c r="J316" s="15"/>
      <c r="K316" s="75"/>
      <c r="L316" s="15"/>
      <c r="M316" s="15"/>
      <c r="N316" s="75"/>
      <c r="O316" s="75"/>
      <c r="P316" s="120"/>
      <c r="Q316" s="121"/>
      <c r="R316" s="121"/>
      <c r="S316" s="121"/>
      <c r="T316" s="75"/>
      <c r="U316" s="75"/>
      <c r="V316" s="75"/>
      <c r="W316" s="75"/>
      <c r="X316" s="7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</row>
    <row r="317" spans="2:43" ht="12.75">
      <c r="B317" s="91"/>
      <c r="C317" s="93"/>
      <c r="D317" s="320"/>
      <c r="E317" s="97"/>
      <c r="F317" s="321"/>
      <c r="G317" s="92"/>
      <c r="H317" s="93"/>
      <c r="I317" s="93"/>
      <c r="J317" s="93"/>
      <c r="K317" s="92"/>
      <c r="L317" s="93"/>
      <c r="M317" s="93"/>
      <c r="N317" s="92"/>
      <c r="O317" s="94"/>
      <c r="P317" s="95"/>
      <c r="Q317" s="96"/>
      <c r="R317" s="96"/>
      <c r="S317" s="96"/>
      <c r="T317" s="92"/>
      <c r="U317" s="92"/>
      <c r="V317" s="92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</row>
    <row r="318" spans="2:43" ht="12.75">
      <c r="B318" s="91"/>
      <c r="C318" s="93"/>
      <c r="D318" s="320"/>
      <c r="E318" s="97"/>
      <c r="F318" s="321"/>
      <c r="G318" s="92"/>
      <c r="H318" s="93"/>
      <c r="I318" s="93"/>
      <c r="J318" s="93"/>
      <c r="K318" s="92"/>
      <c r="L318" s="93"/>
      <c r="M318" s="93"/>
      <c r="N318" s="97"/>
      <c r="O318" s="186"/>
      <c r="P318" s="187"/>
      <c r="Q318" s="188"/>
      <c r="R318" s="188"/>
      <c r="S318" s="96"/>
      <c r="T318" s="92"/>
      <c r="U318" s="92"/>
      <c r="V318" s="92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</row>
    <row r="319" spans="2:43" ht="18.75">
      <c r="B319" s="1"/>
      <c r="C319" s="161" t="s">
        <v>669</v>
      </c>
      <c r="D319" s="322"/>
      <c r="E319" s="161"/>
      <c r="F319" s="323"/>
      <c r="G319" s="99"/>
      <c r="H319" s="99"/>
      <c r="I319" s="99"/>
      <c r="J319" s="99"/>
      <c r="K319" s="99"/>
      <c r="L319" s="99"/>
      <c r="M319" s="99"/>
      <c r="N319" s="189"/>
      <c r="O319" s="189"/>
      <c r="P319" s="189"/>
      <c r="Q319" s="189"/>
      <c r="R319" s="101"/>
      <c r="S319" s="99"/>
      <c r="T319" s="99"/>
      <c r="U319" s="99"/>
      <c r="V319" s="99"/>
      <c r="W319" s="99"/>
      <c r="X319" s="99"/>
      <c r="Y319" s="99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</row>
    <row r="320" spans="2:43" ht="15.75">
      <c r="B320" s="101"/>
      <c r="C320" s="98"/>
      <c r="D320" s="324"/>
      <c r="E320" s="101"/>
      <c r="F320" s="323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</row>
    <row r="321" spans="3:25" s="1" customFormat="1" ht="14.25" customHeight="1">
      <c r="C321" s="113" t="s">
        <v>781</v>
      </c>
      <c r="D321" s="325"/>
      <c r="E321" s="158"/>
      <c r="F321" s="326"/>
      <c r="G321" s="158"/>
      <c r="H321" s="158"/>
      <c r="I321" s="101"/>
      <c r="J321" s="158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99"/>
    </row>
    <row r="322" spans="3:25" s="1" customFormat="1" ht="15.75">
      <c r="C322" s="98" t="s">
        <v>782</v>
      </c>
      <c r="D322" s="327"/>
      <c r="E322" s="328"/>
      <c r="F322" s="323"/>
      <c r="G322" s="99"/>
      <c r="H322" s="99"/>
      <c r="I322" s="159"/>
      <c r="J322" s="15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</row>
    <row r="323" spans="3:25" s="1" customFormat="1" ht="15.75">
      <c r="C323" s="98" t="s">
        <v>783</v>
      </c>
      <c r="D323" s="324"/>
      <c r="E323" s="101"/>
      <c r="F323" s="323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</row>
    <row r="324" spans="2:25" s="1" customFormat="1" ht="15.75" customHeight="1">
      <c r="B324" s="101"/>
      <c r="C324" s="98" t="s">
        <v>784</v>
      </c>
      <c r="D324" s="324"/>
      <c r="E324" s="101"/>
      <c r="F324" s="323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</row>
    <row r="325" spans="3:25" s="1" customFormat="1" ht="15.75">
      <c r="C325" s="102" t="s">
        <v>785</v>
      </c>
      <c r="D325" s="329"/>
      <c r="E325" s="103"/>
      <c r="F325" s="330"/>
      <c r="G325" s="103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99"/>
    </row>
    <row r="326" spans="2:25" s="1" customFormat="1" ht="15.75" customHeight="1">
      <c r="B326" s="104">
        <v>1</v>
      </c>
      <c r="C326" s="459" t="s">
        <v>786</v>
      </c>
      <c r="D326" s="459"/>
      <c r="E326" s="459"/>
      <c r="F326" s="459"/>
      <c r="G326" s="459"/>
      <c r="H326" s="459"/>
      <c r="I326" s="459"/>
      <c r="J326" s="459"/>
      <c r="K326" s="459"/>
      <c r="L326" s="459"/>
      <c r="M326" s="459"/>
      <c r="N326" s="459"/>
      <c r="O326" s="459"/>
      <c r="P326" s="459"/>
      <c r="Q326" s="459"/>
      <c r="R326" s="459"/>
      <c r="S326" s="459"/>
      <c r="T326" s="459"/>
      <c r="U326" s="459"/>
      <c r="V326" s="459"/>
      <c r="W326" s="459"/>
      <c r="X326" s="105"/>
      <c r="Y326" s="98"/>
    </row>
    <row r="327" spans="2:25" s="1" customFormat="1" ht="15.75">
      <c r="B327" s="104"/>
      <c r="C327" s="106" t="s">
        <v>787</v>
      </c>
      <c r="D327" s="331"/>
      <c r="E327" s="115"/>
      <c r="F327" s="332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98"/>
    </row>
    <row r="328" spans="2:25" s="1" customFormat="1" ht="15.75">
      <c r="B328" s="104"/>
      <c r="C328" s="107" t="s">
        <v>788</v>
      </c>
      <c r="D328" s="331"/>
      <c r="E328" s="115"/>
      <c r="F328" s="332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98"/>
    </row>
    <row r="329" spans="2:25" s="1" customFormat="1" ht="15.75">
      <c r="B329" s="104"/>
      <c r="C329" s="108" t="s">
        <v>789</v>
      </c>
      <c r="D329" s="333"/>
      <c r="E329" s="114"/>
      <c r="F329" s="334"/>
      <c r="G329" s="109"/>
      <c r="H329" s="109"/>
      <c r="I329" s="109"/>
      <c r="J329" s="109"/>
      <c r="K329" s="109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98"/>
    </row>
    <row r="330" spans="2:25" s="1" customFormat="1" ht="15.75">
      <c r="B330" s="104"/>
      <c r="C330" s="110" t="s">
        <v>790</v>
      </c>
      <c r="D330" s="333"/>
      <c r="E330" s="114"/>
      <c r="F330" s="334"/>
      <c r="G330" s="109"/>
      <c r="H330" s="109"/>
      <c r="I330" s="109"/>
      <c r="J330" s="109"/>
      <c r="K330" s="109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98"/>
    </row>
    <row r="331" spans="2:25" s="1" customFormat="1" ht="15.75">
      <c r="B331" s="104"/>
      <c r="C331" s="110" t="s">
        <v>791</v>
      </c>
      <c r="D331" s="333"/>
      <c r="E331" s="114"/>
      <c r="F331" s="334"/>
      <c r="G331" s="109"/>
      <c r="H331" s="109"/>
      <c r="I331" s="109"/>
      <c r="J331" s="109"/>
      <c r="K331" s="109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98"/>
    </row>
    <row r="332" spans="2:25" s="1" customFormat="1" ht="15.75">
      <c r="B332" s="104"/>
      <c r="C332" s="107" t="s">
        <v>792</v>
      </c>
      <c r="D332" s="331"/>
      <c r="E332" s="115"/>
      <c r="F332" s="332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98"/>
    </row>
    <row r="333" spans="2:25" s="1" customFormat="1" ht="15" customHeight="1">
      <c r="B333" s="101"/>
      <c r="C333" s="111" t="s">
        <v>793</v>
      </c>
      <c r="D333" s="335"/>
      <c r="E333" s="112"/>
      <c r="F333" s="336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98"/>
    </row>
    <row r="334" spans="2:25" s="1" customFormat="1" ht="15.75">
      <c r="B334" s="101"/>
      <c r="C334" s="113" t="s">
        <v>794</v>
      </c>
      <c r="D334" s="333"/>
      <c r="E334" s="114"/>
      <c r="F334" s="33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98"/>
    </row>
    <row r="335" spans="2:25" s="1" customFormat="1" ht="15.75">
      <c r="B335" s="101"/>
      <c r="C335" s="461" t="s">
        <v>795</v>
      </c>
      <c r="D335" s="461"/>
      <c r="E335" s="461"/>
      <c r="F335" s="461"/>
      <c r="G335" s="461"/>
      <c r="H335" s="461"/>
      <c r="I335" s="461"/>
      <c r="J335" s="461"/>
      <c r="K335" s="461"/>
      <c r="L335" s="461"/>
      <c r="M335" s="461"/>
      <c r="N335" s="461"/>
      <c r="O335" s="461"/>
      <c r="P335" s="461"/>
      <c r="Q335" s="461"/>
      <c r="R335" s="461"/>
      <c r="S335" s="461"/>
      <c r="T335" s="461"/>
      <c r="U335" s="461"/>
      <c r="V335" s="461"/>
      <c r="W335" s="461"/>
      <c r="X335" s="115"/>
      <c r="Y335" s="98"/>
    </row>
    <row r="336" spans="2:25" s="1" customFormat="1" ht="15.75">
      <c r="B336" s="101"/>
      <c r="C336" s="116" t="s">
        <v>796</v>
      </c>
      <c r="D336" s="337"/>
      <c r="E336" s="115"/>
      <c r="F336" s="332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98"/>
    </row>
    <row r="337" spans="2:25" s="1" customFormat="1" ht="15.75">
      <c r="B337" s="101"/>
      <c r="C337" s="117" t="s">
        <v>797</v>
      </c>
      <c r="D337" s="331"/>
      <c r="E337" s="115"/>
      <c r="F337" s="332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98"/>
    </row>
    <row r="338" spans="2:25" s="1" customFormat="1" ht="15.75">
      <c r="B338" s="101"/>
      <c r="C338" s="462" t="s">
        <v>798</v>
      </c>
      <c r="D338" s="462"/>
      <c r="E338" s="462"/>
      <c r="F338" s="462"/>
      <c r="G338" s="462"/>
      <c r="H338" s="462"/>
      <c r="I338" s="462"/>
      <c r="J338" s="462"/>
      <c r="K338" s="462"/>
      <c r="L338" s="462"/>
      <c r="M338" s="462"/>
      <c r="N338" s="462"/>
      <c r="O338" s="462"/>
      <c r="P338" s="462"/>
      <c r="Q338" s="462"/>
      <c r="R338" s="462"/>
      <c r="S338" s="462"/>
      <c r="T338" s="462"/>
      <c r="U338" s="462"/>
      <c r="V338" s="462"/>
      <c r="W338" s="462"/>
      <c r="X338" s="114"/>
      <c r="Y338" s="98"/>
    </row>
    <row r="339" spans="2:25" s="1" customFormat="1" ht="15.75">
      <c r="B339" s="101"/>
      <c r="C339" s="118" t="s">
        <v>799</v>
      </c>
      <c r="D339" s="338"/>
      <c r="E339" s="118"/>
      <c r="F339" s="339"/>
      <c r="G339" s="118"/>
      <c r="H339" s="118"/>
      <c r="I339" s="118"/>
      <c r="J339" s="118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</row>
    <row r="340" spans="2:25" s="1" customFormat="1" ht="15.75">
      <c r="B340" s="104">
        <v>2</v>
      </c>
      <c r="C340" s="98" t="s">
        <v>800</v>
      </c>
      <c r="D340" s="340"/>
      <c r="E340" s="111"/>
      <c r="F340" s="341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</row>
    <row r="341" spans="2:25" s="1" customFormat="1" ht="15.75">
      <c r="B341" s="104">
        <v>3</v>
      </c>
      <c r="C341" s="98" t="s">
        <v>801</v>
      </c>
      <c r="D341" s="340"/>
      <c r="E341" s="111"/>
      <c r="F341" s="341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</row>
    <row r="342" spans="2:25" s="1" customFormat="1" ht="15.75">
      <c r="B342" s="104">
        <v>4</v>
      </c>
      <c r="C342" s="98" t="s">
        <v>802</v>
      </c>
      <c r="D342" s="340"/>
      <c r="E342" s="111"/>
      <c r="F342" s="341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</row>
    <row r="343" spans="2:25" s="1" customFormat="1" ht="33.75" customHeight="1">
      <c r="B343" s="104">
        <v>5</v>
      </c>
      <c r="C343" s="459" t="s">
        <v>803</v>
      </c>
      <c r="D343" s="459"/>
      <c r="E343" s="459"/>
      <c r="F343" s="459"/>
      <c r="G343" s="459"/>
      <c r="H343" s="459"/>
      <c r="I343" s="459"/>
      <c r="J343" s="459"/>
      <c r="K343" s="459"/>
      <c r="L343" s="459"/>
      <c r="M343" s="459"/>
      <c r="N343" s="459"/>
      <c r="O343" s="459"/>
      <c r="P343" s="459"/>
      <c r="Q343" s="459"/>
      <c r="R343" s="459"/>
      <c r="S343" s="459"/>
      <c r="T343" s="459"/>
      <c r="U343" s="459"/>
      <c r="V343" s="459"/>
      <c r="W343" s="459"/>
      <c r="X343" s="459"/>
      <c r="Y343" s="459"/>
    </row>
    <row r="344" spans="2:25" s="1" customFormat="1" ht="16.5" customHeight="1">
      <c r="B344" s="104">
        <v>6</v>
      </c>
      <c r="C344" s="463" t="s">
        <v>804</v>
      </c>
      <c r="D344" s="463"/>
      <c r="E344" s="463"/>
      <c r="F344" s="463"/>
      <c r="G344" s="463"/>
      <c r="H344" s="463"/>
      <c r="I344" s="463"/>
      <c r="J344" s="463"/>
      <c r="K344" s="463"/>
      <c r="L344" s="463"/>
      <c r="M344" s="463"/>
      <c r="N344" s="463"/>
      <c r="O344" s="463"/>
      <c r="P344" s="463"/>
      <c r="Q344" s="463"/>
      <c r="R344" s="463"/>
      <c r="S344" s="463"/>
      <c r="T344" s="463"/>
      <c r="U344" s="463"/>
      <c r="V344" s="463"/>
      <c r="W344" s="463"/>
      <c r="X344" s="463"/>
      <c r="Y344" s="463"/>
    </row>
    <row r="345" spans="2:25" s="160" customFormat="1" ht="18" customHeight="1">
      <c r="B345" s="104">
        <v>7</v>
      </c>
      <c r="C345" s="119" t="s">
        <v>805</v>
      </c>
      <c r="D345" s="342"/>
      <c r="E345" s="343"/>
      <c r="F345" s="344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</row>
    <row r="346" spans="2:25" s="1" customFormat="1" ht="15.75">
      <c r="B346" s="104">
        <v>8</v>
      </c>
      <c r="C346" s="98" t="s">
        <v>806</v>
      </c>
      <c r="D346" s="340"/>
      <c r="E346" s="111"/>
      <c r="F346" s="341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</row>
    <row r="347" spans="2:28" s="1" customFormat="1" ht="18" customHeight="1">
      <c r="B347" s="104">
        <v>9</v>
      </c>
      <c r="C347" s="463" t="s">
        <v>816</v>
      </c>
      <c r="D347" s="463"/>
      <c r="E347" s="463"/>
      <c r="F347" s="463"/>
      <c r="G347" s="463"/>
      <c r="H347" s="463"/>
      <c r="I347" s="463"/>
      <c r="J347" s="463"/>
      <c r="K347" s="463"/>
      <c r="L347" s="463"/>
      <c r="M347" s="463"/>
      <c r="N347" s="463"/>
      <c r="O347" s="463"/>
      <c r="P347" s="463"/>
      <c r="Q347" s="463"/>
      <c r="R347" s="463"/>
      <c r="S347" s="463"/>
      <c r="T347" s="463"/>
      <c r="U347" s="463"/>
      <c r="V347" s="463"/>
      <c r="W347" s="463"/>
      <c r="X347" s="463"/>
      <c r="Y347" s="463"/>
      <c r="Z347" s="463"/>
      <c r="AA347" s="463"/>
      <c r="AB347" s="463"/>
    </row>
    <row r="348" spans="2:25" s="1" customFormat="1" ht="15.75">
      <c r="B348" s="104">
        <v>10</v>
      </c>
      <c r="C348" s="459" t="s">
        <v>817</v>
      </c>
      <c r="D348" s="459"/>
      <c r="E348" s="459"/>
      <c r="F348" s="459"/>
      <c r="G348" s="459"/>
      <c r="H348" s="459"/>
      <c r="I348" s="459"/>
      <c r="J348" s="459"/>
      <c r="K348" s="459"/>
      <c r="L348" s="459"/>
      <c r="M348" s="459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2:25" s="1" customFormat="1" ht="15.75">
      <c r="B349" s="104"/>
      <c r="C349" s="459"/>
      <c r="D349" s="459"/>
      <c r="E349" s="459"/>
      <c r="F349" s="459"/>
      <c r="G349" s="459"/>
      <c r="H349" s="459"/>
      <c r="I349" s="459"/>
      <c r="J349" s="459"/>
      <c r="K349" s="459"/>
      <c r="L349" s="459"/>
      <c r="M349" s="459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</row>
    <row r="350" spans="2:25" s="1" customFormat="1" ht="15.75">
      <c r="B350" s="104">
        <v>11</v>
      </c>
      <c r="C350" s="459" t="s">
        <v>818</v>
      </c>
      <c r="D350" s="459"/>
      <c r="E350" s="459"/>
      <c r="F350" s="459"/>
      <c r="G350" s="459"/>
      <c r="H350" s="459"/>
      <c r="I350" s="459"/>
      <c r="J350" s="459"/>
      <c r="K350" s="459"/>
      <c r="L350" s="459"/>
      <c r="M350" s="459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</row>
    <row r="351" spans="2:25" s="1" customFormat="1" ht="15.75" customHeight="1">
      <c r="B351" s="104">
        <v>12</v>
      </c>
      <c r="C351" s="459" t="s">
        <v>819</v>
      </c>
      <c r="D351" s="459"/>
      <c r="E351" s="459"/>
      <c r="F351" s="459"/>
      <c r="G351" s="459"/>
      <c r="H351" s="459"/>
      <c r="I351" s="459"/>
      <c r="J351" s="459"/>
      <c r="K351" s="459"/>
      <c r="L351" s="459"/>
      <c r="M351" s="459"/>
      <c r="N351" s="459"/>
      <c r="O351" s="459"/>
      <c r="P351" s="459"/>
      <c r="Q351" s="459"/>
      <c r="R351" s="459"/>
      <c r="S351" s="459"/>
      <c r="T351" s="459"/>
      <c r="U351" s="459"/>
      <c r="V351" s="459"/>
      <c r="W351" s="459"/>
      <c r="X351" s="459"/>
      <c r="Y351" s="459"/>
    </row>
    <row r="352" spans="2:25" s="1" customFormat="1" ht="15.75">
      <c r="B352" s="104">
        <v>13</v>
      </c>
      <c r="C352" s="98" t="s">
        <v>820</v>
      </c>
      <c r="D352" s="340"/>
      <c r="E352" s="111"/>
      <c r="F352" s="341"/>
      <c r="G352" s="98"/>
      <c r="H352" s="98"/>
      <c r="I352" s="98"/>
      <c r="J352" s="119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</row>
    <row r="353" spans="2:25" s="1" customFormat="1" ht="14.25" customHeight="1">
      <c r="B353" s="104">
        <v>14</v>
      </c>
      <c r="C353" s="98" t="s">
        <v>821</v>
      </c>
      <c r="D353" s="340"/>
      <c r="E353" s="111"/>
      <c r="F353" s="341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</row>
    <row r="354" spans="2:25" s="1" customFormat="1" ht="15.75">
      <c r="B354" s="104">
        <v>15</v>
      </c>
      <c r="C354" s="98" t="s">
        <v>822</v>
      </c>
      <c r="D354" s="340"/>
      <c r="E354" s="111"/>
      <c r="F354" s="341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</row>
    <row r="355" spans="2:25" s="1" customFormat="1" ht="15.75">
      <c r="B355" s="104">
        <v>16.17</v>
      </c>
      <c r="C355" s="98" t="s">
        <v>823</v>
      </c>
      <c r="D355" s="340"/>
      <c r="E355" s="111"/>
      <c r="F355" s="341"/>
      <c r="G355" s="98"/>
      <c r="H355" s="98"/>
      <c r="I355" s="98"/>
      <c r="J355" s="98"/>
      <c r="K355" s="98"/>
      <c r="L355" s="105"/>
      <c r="M355" s="105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</row>
    <row r="356" spans="2:28" s="1" customFormat="1" ht="33.75" customHeight="1">
      <c r="B356" s="104">
        <v>18</v>
      </c>
      <c r="C356" s="459" t="s">
        <v>824</v>
      </c>
      <c r="D356" s="459"/>
      <c r="E356" s="459"/>
      <c r="F356" s="459"/>
      <c r="G356" s="459"/>
      <c r="H356" s="459"/>
      <c r="I356" s="459"/>
      <c r="J356" s="459"/>
      <c r="K356" s="459"/>
      <c r="L356" s="459"/>
      <c r="M356" s="459"/>
      <c r="N356" s="459"/>
      <c r="O356" s="459"/>
      <c r="P356" s="459"/>
      <c r="Q356" s="459"/>
      <c r="R356" s="459"/>
      <c r="S356" s="459"/>
      <c r="T356" s="459"/>
      <c r="U356" s="459"/>
      <c r="V356" s="459"/>
      <c r="W356" s="459"/>
      <c r="X356" s="459"/>
      <c r="Y356" s="459"/>
      <c r="Z356" s="459"/>
      <c r="AA356" s="459"/>
      <c r="AB356" s="459"/>
    </row>
    <row r="357" spans="2:25" s="1" customFormat="1" ht="17.25" customHeight="1">
      <c r="B357" s="104">
        <v>19</v>
      </c>
      <c r="C357" s="460" t="s">
        <v>825</v>
      </c>
      <c r="D357" s="460"/>
      <c r="E357" s="460"/>
      <c r="F357" s="460"/>
      <c r="G357" s="460"/>
      <c r="H357" s="460"/>
      <c r="I357" s="460"/>
      <c r="J357" s="460"/>
      <c r="K357" s="460"/>
      <c r="L357" s="460"/>
      <c r="M357" s="460"/>
      <c r="N357" s="460"/>
      <c r="O357" s="460"/>
      <c r="P357" s="460"/>
      <c r="Q357" s="460"/>
      <c r="R357" s="460"/>
      <c r="S357" s="460"/>
      <c r="T357" s="460"/>
      <c r="U357" s="460"/>
      <c r="V357" s="460"/>
      <c r="W357" s="460"/>
      <c r="X357" s="460"/>
      <c r="Y357" s="460"/>
    </row>
    <row r="358" spans="2:25" s="1" customFormat="1" ht="15.75">
      <c r="B358" s="104">
        <v>20</v>
      </c>
      <c r="C358" s="119" t="s">
        <v>826</v>
      </c>
      <c r="D358" s="340"/>
      <c r="E358" s="111"/>
      <c r="F358" s="341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</row>
    <row r="359" spans="2:43" ht="15.75">
      <c r="B359" s="104"/>
      <c r="C359" s="108"/>
      <c r="D359" s="345"/>
      <c r="E359" s="113"/>
      <c r="F359" s="346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</row>
    <row r="360" spans="2:43" ht="15.75">
      <c r="B360" s="99"/>
      <c r="C360" s="464"/>
      <c r="D360" s="464"/>
      <c r="E360" s="464"/>
      <c r="F360" s="464"/>
      <c r="G360" s="464"/>
      <c r="H360" s="464"/>
      <c r="I360" s="464"/>
      <c r="J360" s="464"/>
      <c r="K360" s="464"/>
      <c r="L360" s="464"/>
      <c r="M360" s="464"/>
      <c r="N360" s="464"/>
      <c r="O360" s="464"/>
      <c r="P360" s="464"/>
      <c r="Q360" s="464"/>
      <c r="R360" s="464"/>
      <c r="S360" s="464"/>
      <c r="T360" s="464"/>
      <c r="U360" s="464"/>
      <c r="V360" s="464"/>
      <c r="W360" s="464"/>
      <c r="X360" s="464"/>
      <c r="Y360" s="464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</row>
    <row r="361" spans="2:43" ht="12.75">
      <c r="B361" s="91"/>
      <c r="C361" s="92"/>
      <c r="D361" s="320"/>
      <c r="E361" s="97"/>
      <c r="F361" s="347"/>
      <c r="G361" s="93"/>
      <c r="H361" s="92"/>
      <c r="I361" s="92"/>
      <c r="J361" s="92"/>
      <c r="K361" s="93"/>
      <c r="L361" s="93"/>
      <c r="M361" s="93"/>
      <c r="N361" s="92"/>
      <c r="O361" s="93"/>
      <c r="P361" s="93"/>
      <c r="Q361" s="92"/>
      <c r="R361" s="94"/>
      <c r="S361" s="95"/>
      <c r="T361" s="96"/>
      <c r="U361" s="96"/>
      <c r="V361" s="96"/>
      <c r="W361" s="92"/>
      <c r="X361" s="92"/>
      <c r="Y361" s="92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</row>
    <row r="362" spans="2:43" ht="12.75">
      <c r="B362" s="91"/>
      <c r="C362" s="92"/>
      <c r="D362" s="320"/>
      <c r="E362" s="97"/>
      <c r="F362" s="347"/>
      <c r="G362" s="93"/>
      <c r="H362" s="92"/>
      <c r="I362" s="92"/>
      <c r="J362" s="92"/>
      <c r="K362" s="93"/>
      <c r="L362" s="93"/>
      <c r="M362" s="93"/>
      <c r="N362" s="92"/>
      <c r="O362" s="93"/>
      <c r="P362" s="93"/>
      <c r="Q362" s="92"/>
      <c r="R362" s="94"/>
      <c r="S362" s="95"/>
      <c r="T362" s="96"/>
      <c r="U362" s="96"/>
      <c r="V362" s="96"/>
      <c r="W362" s="92"/>
      <c r="X362" s="92"/>
      <c r="Y362" s="92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</row>
  </sheetData>
  <sheetProtection/>
  <mergeCells count="34">
    <mergeCell ref="X9:X10"/>
    <mergeCell ref="H9:H10"/>
    <mergeCell ref="M9:M10"/>
    <mergeCell ref="N11:R11"/>
    <mergeCell ref="T9:T10"/>
    <mergeCell ref="U9:U10"/>
    <mergeCell ref="K9:K10"/>
    <mergeCell ref="W9:W10"/>
    <mergeCell ref="E9:E10"/>
    <mergeCell ref="B9:B10"/>
    <mergeCell ref="A9:A10"/>
    <mergeCell ref="I9:I10"/>
    <mergeCell ref="G9:G10"/>
    <mergeCell ref="F9:F10"/>
    <mergeCell ref="C351:Y351"/>
    <mergeCell ref="C360:Y360"/>
    <mergeCell ref="B4:Y4"/>
    <mergeCell ref="J9:J10"/>
    <mergeCell ref="C9:C10"/>
    <mergeCell ref="D9:D10"/>
    <mergeCell ref="V9:V10"/>
    <mergeCell ref="L9:L10"/>
    <mergeCell ref="N9:R9"/>
    <mergeCell ref="S9:S10"/>
    <mergeCell ref="C356:AB356"/>
    <mergeCell ref="C357:Y357"/>
    <mergeCell ref="C326:W326"/>
    <mergeCell ref="C335:W335"/>
    <mergeCell ref="C338:W338"/>
    <mergeCell ref="C343:Y343"/>
    <mergeCell ref="C344:Y344"/>
    <mergeCell ref="C347:AB347"/>
    <mergeCell ref="C348:M349"/>
    <mergeCell ref="C350:M350"/>
  </mergeCells>
  <hyperlinks>
    <hyperlink ref="C58" r:id="rId1" display="http://enstru.skc.kz/ru/ntru/detail/?kpved=27.90.40.05.40.00.00.01.1"/>
    <hyperlink ref="J59" r:id="rId2" display="http://www.google.kz/url?q=http://ru.wikipedia.org/wiki/%25D0%2592%25D0%25B5%25D0%25BB%25D0%25B8%25D0%25BA%25D0%25BE%25D0%25B1%25D1%2580%25D0%25B8%25D1%2582%25D0%25B0%25D0%25BD%25D0%25B8%25D1%258F&amp;sa=U&amp;ei=90T6Ua2ZIImB4ATFnYHgDw&amp;ved=0CB0QFjAA&amp;usg=AFQjCNFV0hZtdBLAd0xGIZEue_-RLkyceg"/>
    <hyperlink ref="C81" r:id="rId3" display="http://enstru.skc.kz/ru/ntru/detail/?kpved=30.30.50.00.00.00.31.10.1"/>
    <hyperlink ref="C82" r:id="rId4" display="http://enstru.skc.kz/ru/ntru/detail/?kpved=30.30.50.00.00.00.31.10.1"/>
  </hyperlinks>
  <printOptions/>
  <pageMargins left="0.75" right="0.75" top="1" bottom="1" header="0.5" footer="0.5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Air Astana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Dinara.Us</dc:creator>
  <cp:keywords/>
  <dc:description/>
  <cp:lastModifiedBy>Aizada Sheriyazdanova</cp:lastModifiedBy>
  <dcterms:created xsi:type="dcterms:W3CDTF">2013-02-10T09:56:59Z</dcterms:created>
  <dcterms:modified xsi:type="dcterms:W3CDTF">2013-12-25T10:40:32Z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