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5165" windowHeight="83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Лист1!$B$11:$AS$486</definedName>
  </definedNames>
  <calcPr calcId="145621" calcOnSave="0"/>
</workbook>
</file>

<file path=xl/calcChain.xml><?xml version="1.0" encoding="utf-8"?>
<calcChain xmlns="http://schemas.openxmlformats.org/spreadsheetml/2006/main">
  <c r="V485" i="1" l="1"/>
  <c r="W484" i="1"/>
  <c r="W483" i="1" l="1"/>
  <c r="W482" i="1"/>
  <c r="W481" i="1" l="1"/>
  <c r="V52" i="1" l="1"/>
  <c r="W480" i="1"/>
  <c r="W51" i="1" l="1"/>
  <c r="W479" i="1"/>
  <c r="W478" i="1" l="1"/>
  <c r="W477" i="1" l="1"/>
  <c r="W476" i="1"/>
  <c r="W475" i="1"/>
  <c r="Q474" i="1" l="1"/>
  <c r="W474" i="1"/>
  <c r="W473" i="1" l="1"/>
  <c r="T472" i="1"/>
  <c r="S472" i="1"/>
  <c r="R472" i="1"/>
  <c r="Q472" i="1"/>
  <c r="V472" i="1" s="1"/>
  <c r="W472" i="1" s="1"/>
  <c r="W471" i="1" l="1"/>
  <c r="W470" i="1"/>
  <c r="W469" i="1" l="1"/>
  <c r="W462" i="1" l="1"/>
  <c r="V460" i="1"/>
  <c r="W460" i="1" s="1"/>
  <c r="V458" i="1"/>
  <c r="W458" i="1" s="1"/>
  <c r="V456" i="1"/>
  <c r="W456" i="1" s="1"/>
  <c r="Q425" i="1" l="1"/>
  <c r="Q424" i="1"/>
  <c r="Q423" i="1"/>
  <c r="W468" i="1" l="1"/>
  <c r="W467" i="1"/>
  <c r="T467" i="1"/>
  <c r="S467" i="1"/>
  <c r="R467" i="1"/>
  <c r="Q467" i="1"/>
  <c r="W464" i="1" l="1"/>
  <c r="W465" i="1"/>
  <c r="W466" i="1"/>
  <c r="W461" i="1" l="1"/>
  <c r="W463" i="1" l="1"/>
  <c r="S459" i="1"/>
  <c r="R459" i="1"/>
  <c r="Q459" i="1"/>
  <c r="S457" i="1"/>
  <c r="R457" i="1"/>
  <c r="Q457" i="1"/>
  <c r="S455" i="1"/>
  <c r="R455" i="1"/>
  <c r="Q455" i="1"/>
  <c r="W455" i="1" l="1"/>
  <c r="W459" i="1"/>
  <c r="W457" i="1"/>
  <c r="W454" i="1"/>
  <c r="W453" i="1"/>
  <c r="W415" i="1" l="1"/>
  <c r="W416" i="1"/>
  <c r="W417" i="1"/>
  <c r="W449" i="1" l="1"/>
  <c r="W450" i="1"/>
  <c r="W451" i="1"/>
  <c r="W452" i="1"/>
  <c r="R452" i="1"/>
  <c r="Q452" i="1"/>
  <c r="P452" i="1"/>
  <c r="R451" i="1"/>
  <c r="Q451" i="1"/>
  <c r="P451" i="1"/>
  <c r="R450" i="1"/>
  <c r="Q450" i="1"/>
  <c r="P450" i="1"/>
  <c r="R449" i="1"/>
  <c r="Q449" i="1"/>
  <c r="P449" i="1"/>
  <c r="W448" i="1"/>
  <c r="W447" i="1" l="1"/>
  <c r="W446" i="1" l="1"/>
  <c r="W49" i="1" l="1"/>
  <c r="V445" i="1" l="1"/>
  <c r="W444" i="1"/>
  <c r="W445" i="1" l="1"/>
  <c r="W443" i="1" l="1"/>
  <c r="W442" i="1" l="1"/>
  <c r="W441" i="1" l="1"/>
  <c r="V82" i="1" l="1"/>
  <c r="W82" i="1" s="1"/>
  <c r="W439" i="1" l="1"/>
  <c r="W440" i="1"/>
  <c r="W438" i="1" l="1"/>
  <c r="W437" i="1"/>
  <c r="W436" i="1" l="1"/>
  <c r="T435" i="1" l="1"/>
  <c r="S435" i="1"/>
  <c r="R435" i="1"/>
  <c r="Q435" i="1"/>
  <c r="P435" i="1"/>
  <c r="W434" i="1"/>
  <c r="W433" i="1" l="1"/>
  <c r="W432" i="1" l="1"/>
  <c r="W431" i="1" l="1"/>
  <c r="W430" i="1" l="1"/>
  <c r="W429" i="1"/>
  <c r="W428" i="1" l="1"/>
  <c r="W435" i="1" l="1"/>
  <c r="W426" i="1" l="1"/>
  <c r="W427" i="1" l="1"/>
  <c r="R425" i="1"/>
  <c r="V425" i="1"/>
  <c r="W425" i="1" s="1"/>
  <c r="R424" i="1"/>
  <c r="R423" i="1"/>
  <c r="V423" i="1"/>
  <c r="W423" i="1" s="1"/>
  <c r="V424" i="1" l="1"/>
  <c r="W424" i="1" s="1"/>
  <c r="W422" i="1"/>
  <c r="W421" i="1" l="1"/>
  <c r="Q421" i="1"/>
  <c r="P421" i="1"/>
  <c r="W420" i="1" l="1"/>
  <c r="W419" i="1" l="1"/>
  <c r="W418" i="1" l="1"/>
  <c r="W330" i="1" l="1"/>
  <c r="W47" i="1" l="1"/>
  <c r="W46" i="1"/>
  <c r="W414" i="1" l="1"/>
  <c r="W413" i="1"/>
  <c r="Q414" i="1"/>
  <c r="P414" i="1"/>
  <c r="Q413" i="1"/>
  <c r="P413" i="1"/>
  <c r="W411" i="1" l="1"/>
  <c r="W410" i="1" l="1"/>
  <c r="W409" i="1" l="1"/>
  <c r="W408" i="1" l="1"/>
  <c r="W412" i="1" l="1"/>
  <c r="W407" i="1" l="1"/>
  <c r="W406" i="1"/>
  <c r="W405" i="1" l="1"/>
  <c r="W404" i="1" l="1"/>
  <c r="W403" i="1"/>
  <c r="W402" i="1" l="1"/>
  <c r="W401" i="1" l="1"/>
  <c r="W400" i="1"/>
  <c r="W398" i="1" l="1"/>
  <c r="W399" i="1"/>
  <c r="W380" i="1" l="1"/>
  <c r="W396" i="1" l="1"/>
  <c r="Q397" i="1"/>
  <c r="P397" i="1"/>
  <c r="V397" i="1" s="1"/>
  <c r="W397" i="1" s="1"/>
  <c r="Q396" i="1"/>
  <c r="P396" i="1"/>
  <c r="W395" i="1" l="1"/>
  <c r="V386" i="1" l="1"/>
  <c r="V387" i="1"/>
  <c r="W387" i="1" s="1"/>
  <c r="V388" i="1"/>
  <c r="W388" i="1" s="1"/>
  <c r="V389" i="1"/>
  <c r="W389" i="1" s="1"/>
  <c r="V390" i="1"/>
  <c r="W390" i="1" s="1"/>
  <c r="V391" i="1"/>
  <c r="W391" i="1" s="1"/>
  <c r="V392" i="1"/>
  <c r="W392" i="1" s="1"/>
  <c r="V393" i="1"/>
  <c r="W393" i="1" s="1"/>
  <c r="V394" i="1"/>
  <c r="W394" i="1" s="1"/>
  <c r="V385" i="1"/>
  <c r="W385" i="1" s="1"/>
  <c r="W386" i="1"/>
  <c r="W384" i="1"/>
  <c r="W50" i="1" l="1"/>
  <c r="W382" i="1" l="1"/>
  <c r="W383" i="1"/>
  <c r="W381" i="1" l="1"/>
  <c r="W379" i="1" l="1"/>
  <c r="W378" i="1" l="1"/>
  <c r="W377" i="1" l="1"/>
  <c r="W376" i="1" l="1"/>
  <c r="W375" i="1"/>
  <c r="W373" i="1" l="1"/>
  <c r="W374" i="1"/>
  <c r="Q374" i="1"/>
  <c r="P374" i="1"/>
  <c r="Q373" i="1"/>
  <c r="P373" i="1"/>
  <c r="W328" i="1" l="1"/>
  <c r="W372" i="1" l="1"/>
  <c r="W371" i="1" l="1"/>
  <c r="W370" i="1" l="1"/>
  <c r="W369" i="1" l="1"/>
  <c r="W368" i="1"/>
  <c r="W367" i="1" l="1"/>
  <c r="W366" i="1" l="1"/>
  <c r="W365" i="1" l="1"/>
  <c r="W364" i="1" l="1"/>
  <c r="W363" i="1" l="1"/>
  <c r="W362" i="1" l="1"/>
  <c r="R356" i="1" l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W361" i="1" l="1"/>
  <c r="W360" i="1"/>
  <c r="W359" i="1" l="1"/>
  <c r="W358" i="1" l="1"/>
  <c r="W357" i="1" l="1"/>
  <c r="W336" i="1" l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R336" i="1"/>
  <c r="W335" i="1" l="1"/>
  <c r="W334" i="1" l="1"/>
  <c r="W333" i="1"/>
  <c r="W332" i="1" l="1"/>
  <c r="W331" i="1" l="1"/>
  <c r="W329" i="1" l="1"/>
  <c r="W80" i="1" l="1"/>
  <c r="W327" i="1" l="1"/>
  <c r="W324" i="1" l="1"/>
  <c r="W326" i="1" l="1"/>
  <c r="T326" i="1"/>
  <c r="S326" i="1"/>
  <c r="R326" i="1"/>
  <c r="Q326" i="1"/>
  <c r="P326" i="1"/>
  <c r="V325" i="1" l="1"/>
  <c r="W325" i="1" s="1"/>
  <c r="W323" i="1"/>
  <c r="V322" i="1" l="1"/>
  <c r="W322" i="1" s="1"/>
  <c r="V321" i="1"/>
  <c r="W321" i="1" s="1"/>
  <c r="V320" i="1"/>
  <c r="W320" i="1" s="1"/>
  <c r="V319" i="1"/>
  <c r="W319" i="1" s="1"/>
  <c r="V318" i="1"/>
  <c r="W318" i="1" s="1"/>
  <c r="W317" i="1" l="1"/>
  <c r="W316" i="1" l="1"/>
  <c r="W315" i="1" l="1"/>
  <c r="V83" i="1" l="1"/>
  <c r="W83" i="1" s="1"/>
  <c r="W81" i="1"/>
  <c r="V84" i="1" l="1"/>
  <c r="W79" i="1"/>
  <c r="W78" i="1"/>
  <c r="W314" i="1" l="1"/>
  <c r="W77" i="1"/>
  <c r="W313" i="1" l="1"/>
  <c r="W312" i="1" l="1"/>
  <c r="W311" i="1" l="1"/>
  <c r="W310" i="1" l="1"/>
  <c r="W120" i="1" l="1"/>
  <c r="W118" i="1"/>
  <c r="W309" i="1" l="1"/>
  <c r="W308" i="1"/>
  <c r="W307" i="1" l="1"/>
  <c r="W306" i="1" l="1"/>
  <c r="W305" i="1" l="1"/>
  <c r="Q305" i="1"/>
  <c r="P305" i="1"/>
  <c r="W303" i="1" l="1"/>
  <c r="W304" i="1"/>
  <c r="W301" i="1" l="1"/>
  <c r="W299" i="1" l="1"/>
  <c r="W300" i="1"/>
  <c r="T300" i="1"/>
  <c r="S300" i="1"/>
  <c r="R300" i="1"/>
  <c r="Q300" i="1"/>
  <c r="P300" i="1"/>
  <c r="W298" i="1" l="1"/>
  <c r="W94" i="1" l="1"/>
  <c r="W64" i="1"/>
  <c r="W297" i="1" l="1"/>
  <c r="W76" i="1" l="1"/>
  <c r="W75" i="1"/>
  <c r="W124" i="1"/>
  <c r="W128" i="1"/>
  <c r="W158" i="1"/>
  <c r="W159" i="1"/>
  <c r="W160" i="1"/>
  <c r="W161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5" i="1"/>
  <c r="W187" i="1"/>
  <c r="W188" i="1"/>
  <c r="W189" i="1"/>
  <c r="W190" i="1"/>
  <c r="W191" i="1"/>
  <c r="W201" i="1"/>
  <c r="W202" i="1"/>
  <c r="W203" i="1"/>
  <c r="W208" i="1"/>
  <c r="W209" i="1"/>
  <c r="W210" i="1"/>
  <c r="W211" i="1"/>
  <c r="W212" i="1"/>
  <c r="W216" i="1"/>
  <c r="W217" i="1"/>
  <c r="W218" i="1"/>
  <c r="W219" i="1"/>
  <c r="W220" i="1"/>
  <c r="W227" i="1"/>
  <c r="W228" i="1"/>
  <c r="W229" i="1"/>
  <c r="W230" i="1"/>
  <c r="W231" i="1"/>
  <c r="W232" i="1"/>
  <c r="W233" i="1"/>
  <c r="W234" i="1"/>
  <c r="W235" i="1"/>
  <c r="W236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O258" i="1"/>
  <c r="O257" i="1"/>
  <c r="V242" i="1"/>
  <c r="W242" i="1" s="1"/>
  <c r="V241" i="1"/>
  <c r="W241" i="1" s="1"/>
  <c r="V240" i="1"/>
  <c r="W240" i="1" s="1"/>
  <c r="W239" i="1"/>
  <c r="V238" i="1"/>
  <c r="W238" i="1" s="1"/>
  <c r="V237" i="1"/>
  <c r="W237" i="1" s="1"/>
  <c r="V226" i="1"/>
  <c r="W226" i="1" s="1"/>
  <c r="V225" i="1"/>
  <c r="W225" i="1" s="1"/>
  <c r="V224" i="1"/>
  <c r="W224" i="1" s="1"/>
  <c r="V223" i="1"/>
  <c r="W223" i="1" s="1"/>
  <c r="V222" i="1"/>
  <c r="W222" i="1" s="1"/>
  <c r="V221" i="1"/>
  <c r="W221" i="1" s="1"/>
  <c r="V215" i="1"/>
  <c r="W215" i="1" s="1"/>
  <c r="V214" i="1"/>
  <c r="W214" i="1" s="1"/>
  <c r="V213" i="1"/>
  <c r="W213" i="1" s="1"/>
  <c r="P212" i="1"/>
  <c r="P211" i="1"/>
  <c r="P210" i="1"/>
  <c r="P209" i="1"/>
  <c r="V207" i="1"/>
  <c r="V206" i="1"/>
  <c r="W206" i="1" s="1"/>
  <c r="V205" i="1"/>
  <c r="W205" i="1" s="1"/>
  <c r="V204" i="1"/>
  <c r="W204" i="1" s="1"/>
  <c r="V200" i="1"/>
  <c r="W200" i="1" s="1"/>
  <c r="P200" i="1"/>
  <c r="O200" i="1"/>
  <c r="V199" i="1"/>
  <c r="W199" i="1" s="1"/>
  <c r="P199" i="1"/>
  <c r="O199" i="1"/>
  <c r="V198" i="1"/>
  <c r="W198" i="1" s="1"/>
  <c r="P198" i="1"/>
  <c r="O198" i="1"/>
  <c r="V197" i="1"/>
  <c r="W197" i="1" s="1"/>
  <c r="P197" i="1"/>
  <c r="O197" i="1"/>
  <c r="V196" i="1"/>
  <c r="W196" i="1" s="1"/>
  <c r="P196" i="1"/>
  <c r="O196" i="1"/>
  <c r="V195" i="1"/>
  <c r="W195" i="1" s="1"/>
  <c r="P195" i="1"/>
  <c r="O195" i="1"/>
  <c r="V194" i="1"/>
  <c r="W194" i="1" s="1"/>
  <c r="P194" i="1"/>
  <c r="O194" i="1"/>
  <c r="V193" i="1"/>
  <c r="W193" i="1" s="1"/>
  <c r="P193" i="1"/>
  <c r="O193" i="1"/>
  <c r="V192" i="1"/>
  <c r="W192" i="1" s="1"/>
  <c r="P192" i="1"/>
  <c r="O192" i="1"/>
  <c r="S190" i="1"/>
  <c r="R190" i="1"/>
  <c r="Q190" i="1"/>
  <c r="P190" i="1"/>
  <c r="O190" i="1"/>
  <c r="V186" i="1"/>
  <c r="W186" i="1" s="1"/>
  <c r="V184" i="1"/>
  <c r="W184" i="1" s="1"/>
  <c r="V183" i="1"/>
  <c r="W183" i="1" s="1"/>
  <c r="V182" i="1"/>
  <c r="W182" i="1" s="1"/>
  <c r="V181" i="1"/>
  <c r="W181" i="1" s="1"/>
  <c r="V167" i="1"/>
  <c r="W167" i="1" s="1"/>
  <c r="V166" i="1"/>
  <c r="W166" i="1" s="1"/>
  <c r="V165" i="1"/>
  <c r="W165" i="1" s="1"/>
  <c r="V164" i="1"/>
  <c r="W164" i="1" s="1"/>
  <c r="V163" i="1"/>
  <c r="W163" i="1" s="1"/>
  <c r="V162" i="1"/>
  <c r="W162" i="1" s="1"/>
  <c r="P160" i="1"/>
  <c r="O160" i="1"/>
  <c r="V157" i="1"/>
  <c r="W157" i="1" s="1"/>
  <c r="V156" i="1"/>
  <c r="W156" i="1" s="1"/>
  <c r="V155" i="1"/>
  <c r="W155" i="1" s="1"/>
  <c r="V154" i="1"/>
  <c r="W154" i="1" s="1"/>
  <c r="V153" i="1"/>
  <c r="W153" i="1" s="1"/>
  <c r="V152" i="1"/>
  <c r="W152" i="1" s="1"/>
  <c r="V151" i="1"/>
  <c r="W151" i="1" s="1"/>
  <c r="V150" i="1"/>
  <c r="W150" i="1" s="1"/>
  <c r="V149" i="1"/>
  <c r="W149" i="1" s="1"/>
  <c r="V148" i="1"/>
  <c r="W148" i="1" s="1"/>
  <c r="V147" i="1"/>
  <c r="W147" i="1" s="1"/>
  <c r="V146" i="1"/>
  <c r="W146" i="1" s="1"/>
  <c r="V145" i="1"/>
  <c r="W145" i="1" s="1"/>
  <c r="V144" i="1"/>
  <c r="W144" i="1" s="1"/>
  <c r="V143" i="1"/>
  <c r="W143" i="1" s="1"/>
  <c r="V142" i="1"/>
  <c r="W142" i="1" s="1"/>
  <c r="V141" i="1"/>
  <c r="W141" i="1" s="1"/>
  <c r="V140" i="1"/>
  <c r="W140" i="1" s="1"/>
  <c r="V139" i="1"/>
  <c r="W139" i="1" s="1"/>
  <c r="V138" i="1"/>
  <c r="W138" i="1" s="1"/>
  <c r="V137" i="1"/>
  <c r="W137" i="1" s="1"/>
  <c r="V136" i="1"/>
  <c r="W136" i="1" s="1"/>
  <c r="V135" i="1"/>
  <c r="W135" i="1" s="1"/>
  <c r="V134" i="1"/>
  <c r="W134" i="1" s="1"/>
  <c r="V133" i="1"/>
  <c r="W133" i="1" s="1"/>
  <c r="V132" i="1"/>
  <c r="W132" i="1" s="1"/>
  <c r="V131" i="1"/>
  <c r="W131" i="1" s="1"/>
  <c r="V130" i="1"/>
  <c r="W130" i="1" s="1"/>
  <c r="V129" i="1"/>
  <c r="W129" i="1" s="1"/>
  <c r="V127" i="1"/>
  <c r="W127" i="1" s="1"/>
  <c r="V126" i="1"/>
  <c r="W126" i="1" s="1"/>
  <c r="V125" i="1"/>
  <c r="W123" i="1"/>
  <c r="W207" i="1" l="1"/>
  <c r="W125" i="1"/>
  <c r="W122" i="1" l="1"/>
  <c r="W121" i="1"/>
  <c r="W119" i="1"/>
  <c r="W117" i="1"/>
  <c r="W116" i="1"/>
  <c r="W115" i="1"/>
  <c r="W114" i="1"/>
  <c r="W113" i="1"/>
  <c r="W112" i="1"/>
  <c r="W111" i="1"/>
  <c r="W110" i="1"/>
  <c r="W109" i="1"/>
  <c r="W98" i="1"/>
  <c r="W99" i="1"/>
  <c r="W100" i="1"/>
  <c r="W101" i="1"/>
  <c r="W102" i="1"/>
  <c r="W103" i="1"/>
  <c r="W104" i="1"/>
  <c r="W105" i="1"/>
  <c r="W106" i="1"/>
  <c r="W107" i="1"/>
  <c r="W108" i="1"/>
  <c r="W97" i="1"/>
  <c r="W96" i="1"/>
  <c r="W95" i="1"/>
  <c r="W93" i="1"/>
  <c r="W92" i="1"/>
  <c r="W91" i="1"/>
  <c r="W90" i="1"/>
  <c r="W89" i="1"/>
  <c r="W88" i="1"/>
  <c r="W87" i="1"/>
  <c r="W86" i="1"/>
  <c r="W74" i="1"/>
  <c r="W73" i="1"/>
  <c r="W72" i="1"/>
  <c r="W71" i="1"/>
  <c r="W70" i="1"/>
  <c r="W69" i="1"/>
  <c r="W68" i="1"/>
  <c r="W67" i="1"/>
  <c r="W66" i="1"/>
  <c r="W65" i="1"/>
  <c r="W63" i="1"/>
  <c r="W62" i="1"/>
  <c r="W57" i="1"/>
  <c r="W58" i="1"/>
  <c r="W59" i="1"/>
  <c r="W60" i="1"/>
  <c r="W61" i="1"/>
  <c r="W56" i="1"/>
  <c r="W55" i="1"/>
  <c r="W54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8" i="1"/>
  <c r="W32" i="1"/>
  <c r="W26" i="1"/>
  <c r="W27" i="1"/>
  <c r="W28" i="1"/>
  <c r="W29" i="1"/>
  <c r="W30" i="1"/>
  <c r="W31" i="1"/>
  <c r="W25" i="1"/>
  <c r="W14" i="1"/>
  <c r="W15" i="1"/>
  <c r="W16" i="1"/>
  <c r="W17" i="1"/>
  <c r="W18" i="1"/>
  <c r="W19" i="1"/>
  <c r="W20" i="1"/>
  <c r="W21" i="1"/>
  <c r="W22" i="1"/>
  <c r="W23" i="1"/>
  <c r="W24" i="1"/>
  <c r="W13" i="1"/>
  <c r="W84" i="1" l="1"/>
  <c r="W52" i="1" l="1"/>
  <c r="W485" i="1" l="1"/>
  <c r="V486" i="1"/>
  <c r="W486" i="1" s="1"/>
</calcChain>
</file>

<file path=xl/sharedStrings.xml><?xml version="1.0" encoding="utf-8"?>
<sst xmlns="http://schemas.openxmlformats.org/spreadsheetml/2006/main" count="5015" uniqueCount="1608">
  <si>
    <t>1. Товары</t>
  </si>
  <si>
    <t>1 Т</t>
  </si>
  <si>
    <t>АО "Эйр Астана"</t>
  </si>
  <si>
    <t>ОТ</t>
  </si>
  <si>
    <t>EXW</t>
  </si>
  <si>
    <t>2 Т</t>
  </si>
  <si>
    <t>3 Т</t>
  </si>
  <si>
    <t>Авионические приборы и оборудование для воздушных судов типа Эйрбас</t>
  </si>
  <si>
    <t>50% предоплата, 50 % по факту оказания услуги</t>
  </si>
  <si>
    <t>4 Т</t>
  </si>
  <si>
    <t>30.30.50.00.00.10.00.10.1</t>
  </si>
  <si>
    <t>Кресло</t>
  </si>
  <si>
    <t>для воздушного судна</t>
  </si>
  <si>
    <t>Кресла бизнес класса для ВС Боинг 767</t>
  </si>
  <si>
    <t>Республика Казахстан, страны Ближнего и Дальнего зарубежья</t>
  </si>
  <si>
    <t>50% предоплата, 50% по факту доставки</t>
  </si>
  <si>
    <t>5 Т</t>
  </si>
  <si>
    <t>Кресла эконом класса для ВС Боинг 767</t>
  </si>
  <si>
    <t>6 Т</t>
  </si>
  <si>
    <t>26.40.34.10.10.10.10.10.1</t>
  </si>
  <si>
    <t>Система аудио и видеоаппаратуры для показа развлекательных программ</t>
  </si>
  <si>
    <t>Комплекс аудио и видеоаппаратуры для показа развлекательных программ</t>
  </si>
  <si>
    <t>Система видео и аудио развлечения для ВС Боинг 767</t>
  </si>
  <si>
    <t>7 Т</t>
  </si>
  <si>
    <t>62.01.29.00.00.00.10.00.1</t>
  </si>
  <si>
    <t>Программное обеспечение</t>
  </si>
  <si>
    <t xml:space="preserve">ПО индикации статуса рейса/полета  для воздушных судов типа Airbus 320/321. Двухмерная движущиеся карта, которая обеспечивает пассажиров подробной информацией о полете и широким ассортиментом карт. </t>
  </si>
  <si>
    <t>100% по факту оказания услуги</t>
  </si>
  <si>
    <t>штука</t>
  </si>
  <si>
    <t>8 Т</t>
  </si>
  <si>
    <t>30.30.50.00.00.00.31.10.1</t>
  </si>
  <si>
    <t>Система электрического снабжения</t>
  </si>
  <si>
    <t>для сидений воздушного судна</t>
  </si>
  <si>
    <t>Для сидений самолета типа Boeing 767-300ER, включая разработку дизайна, тестирование и сертификацию</t>
  </si>
  <si>
    <t>100 % предоплата</t>
  </si>
  <si>
    <t>комплект</t>
  </si>
  <si>
    <t>9 Т</t>
  </si>
  <si>
    <t>30.30.50.00.00.00.37.10.1</t>
  </si>
  <si>
    <t xml:space="preserve">Модификационный комплект </t>
  </si>
  <si>
    <t>Модификационный комплект для установки законцовок на крыло воздушного судна</t>
  </si>
  <si>
    <t>Модификационный комплект для установки законцовок на крыло новых самолетов Боинг 767-300ER</t>
  </si>
  <si>
    <t>г.Алматы</t>
  </si>
  <si>
    <t>50 % -предоплата      50 %- после поставки</t>
  </si>
  <si>
    <t>10 Т</t>
  </si>
  <si>
    <t>30.30.50.00.00.00.39.10.1</t>
  </si>
  <si>
    <t xml:space="preserve">Система внутренней подсветки </t>
  </si>
  <si>
    <t>Система внутренней подсветки для воздушного судна</t>
  </si>
  <si>
    <t>Система внутренней подсветки и расходные материалы для установки на  новых воздушных судов Боинг 767-300. Организация должна быть сертифицирована в соответствии со стандартами EASA/JAR-145.</t>
  </si>
  <si>
    <t>Страны Ближнего и Дальнего Зарубежья, город Алматы</t>
  </si>
  <si>
    <t>50 % -предоплата      50 %- после установки</t>
  </si>
  <si>
    <t>11 Т</t>
  </si>
  <si>
    <t>30.30.50.00.00.00.35.10.1</t>
  </si>
  <si>
    <t>Оттоманка для кресел воздушного судна</t>
  </si>
  <si>
    <t>для установки на в/с 
типа Boeing 767-300ER</t>
  </si>
  <si>
    <t>12 Т</t>
  </si>
  <si>
    <t>30.30.50.00.00.00.30.10.1</t>
  </si>
  <si>
    <t>Система комфорта для кресел воздушного судна</t>
  </si>
  <si>
    <t>для установки на в/с
типа Boeing 767-300ER</t>
  </si>
  <si>
    <t>100% предоплата</t>
  </si>
  <si>
    <t>13 Т</t>
  </si>
  <si>
    <t>15.11.22.00.00.00.00.20.2</t>
  </si>
  <si>
    <t>Кожа лаковая ламинированная</t>
  </si>
  <si>
    <t>Кожа натуральная выделанная, которая 
была покрыта предварительно формованным листом пластика (кожа лаковая или лаковая ламинированная)</t>
  </si>
  <si>
    <t>Кожа для кресел эконом класса  для установки на новых самолетах Боинг 767-300ER. Кожа необходима для пошива чехлов для подголовников кресел эконом класса</t>
  </si>
  <si>
    <t>кв.метр</t>
  </si>
  <si>
    <t>14 Т</t>
  </si>
  <si>
    <t>13.93.12.00.10.20.14.50.2</t>
  </si>
  <si>
    <t>Ковровое покрытие для пассажирского салона для  новых воздушных суден Боинг 767-300ER.</t>
  </si>
  <si>
    <t xml:space="preserve">г.Алматы , Страны Дальнего и Ближнего Зарубежья </t>
  </si>
  <si>
    <t>15 Т</t>
  </si>
  <si>
    <t>Приобретение оборотных запасных частей, приборов и оборудования для обслуживания воздушных судов типа Boeing 767-300</t>
  </si>
  <si>
    <t>По факту поставки товаров в течение 30 дней</t>
  </si>
  <si>
    <t>16 Т</t>
  </si>
  <si>
    <r>
      <t xml:space="preserve">Приобретение оборотных запасных частей, приборов и оборудования для обслуживания воздушных судов типа Boeing </t>
    </r>
    <r>
      <rPr>
        <sz val="10"/>
        <rFont val="Times New Roman"/>
        <family val="1"/>
        <charset val="204"/>
      </rPr>
      <t>757-200</t>
    </r>
  </si>
  <si>
    <t>17 Т</t>
  </si>
  <si>
    <t>Приобретение оборотных запасных частей, приборов и оборудования для обслуживания воздушных судов типа Airbus A320/A321</t>
  </si>
  <si>
    <t>18 Т</t>
  </si>
  <si>
    <t>Приобретение оборотных запасных частей, приборов и оборудования для обслуживания воздушных судов типа Embraer</t>
  </si>
  <si>
    <t>19 Т</t>
  </si>
  <si>
    <t>Расходные материалы для технического обслуживания воздушных судов и систем воздушных судов, а также отдельных компонентов воздушных судов типа Boeing 757-200/ Boeing 767-300; Airbus A320/321; Embraer</t>
  </si>
  <si>
    <t>20 Т</t>
  </si>
  <si>
    <t>Приобретение наземного оборудования для воздушных судов типа Boeing 757-200/ Boeing 767-300; Airbus A320/321; Embraer</t>
  </si>
  <si>
    <t>21 Т</t>
  </si>
  <si>
    <t>Приобретение инструментов для обслуживания воздушных судов типа Boeing 757-200/ Boeing 767-300; Airbus A320/321; Embraer</t>
  </si>
  <si>
    <t>34 Т</t>
  </si>
  <si>
    <t>30.30.50.00.00.00.42.10.1</t>
  </si>
  <si>
    <t xml:space="preserve">Система документов в электронном формате </t>
  </si>
  <si>
    <t xml:space="preserve">Система документов в электронном формате, для воздушного судна
</t>
  </si>
  <si>
    <t xml:space="preserve"> Оборудование электронной системы «Электронная Полетная Кабина (EFB)», Class II на воздушное судно типа Boeing 757</t>
  </si>
  <si>
    <t>март-апрель</t>
  </si>
  <si>
    <t>100% по факту поставки</t>
  </si>
  <si>
    <t xml:space="preserve">30.30.50.00.00.00.44.10.1
</t>
  </si>
  <si>
    <t>Система связи</t>
  </si>
  <si>
    <t>в целях управления воздушным движением 
между диспетчером и пилотом с использованием линии передачи данных</t>
  </si>
  <si>
    <t>Система CPDLC для ВС. Средство связи в целях управления воздушным движением 
между диспетчером и пилотом с использованием линии передачи данных</t>
  </si>
  <si>
    <t>ОИ</t>
  </si>
  <si>
    <t>апрель</t>
  </si>
  <si>
    <t>FCA</t>
  </si>
  <si>
    <t>50% предоплата, 50% по факту поставки</t>
  </si>
  <si>
    <t>Cистемa  активации функции "Связь диспетчер – пилот" по линии передачи данных  на  воздушном судне типа Boeing 757 P4-GAS</t>
  </si>
  <si>
    <t>Cистемa  активации функции "Связь диспетчер – пилот" по линии передачи данных  на  воздушном судне типа Boeing 757 P4 - EAS/FAS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</si>
  <si>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Boeing 757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</si>
  <si>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Airbus 320</t>
  </si>
  <si>
    <t>26.40.33.00.00.00.10.01.1</t>
  </si>
  <si>
    <t>Система видеонаблюдения</t>
  </si>
  <si>
    <t>комплекс оборудования для видеонаблюдения</t>
  </si>
  <si>
    <t>Система обзора пространства перед дверью пилотской кабины для воздушных судов Боинг 767</t>
  </si>
  <si>
    <t>30.30.50.00.00.00.39.50.1</t>
  </si>
  <si>
    <t>Система маркировки пассажирского салона воздушного судна</t>
  </si>
  <si>
    <t xml:space="preserve">на случай аварийной эвакуации </t>
  </si>
  <si>
    <t>Система маркировки пассажирского салона на случай аварийной эвакуации на борту воздушных судов Боинг 767</t>
  </si>
  <si>
    <t xml:space="preserve">июнь-август </t>
  </si>
  <si>
    <t>26.40.42.00.00.00.23.10.1</t>
  </si>
  <si>
    <t>Наушник проводной</t>
  </si>
  <si>
    <t>Соединены с источником проводом, обеспечивают максимальное качество звука.  Стереофонические, т.е. сигналы на каждый громкоговоритель передаются по отдельным каналам.</t>
  </si>
  <si>
    <t xml:space="preserve">Наушники шумоизоляционные для IPAD </t>
  </si>
  <si>
    <t>июль-август</t>
  </si>
  <si>
    <t>DDP</t>
  </si>
  <si>
    <t xml:space="preserve">100 % по факту </t>
  </si>
  <si>
    <t>27.90.40.05.40.00.00.01.1</t>
  </si>
  <si>
    <t>Зарядное устройство</t>
  </si>
  <si>
    <t>Бытовое внешнее зарядное устройство</t>
  </si>
  <si>
    <t>Зарядное устройство для шумоизоляционных наушников на IPAD</t>
  </si>
  <si>
    <t xml:space="preserve">Система внутренней подсветки и расходные материалы для установки на  воздушное судно типа Боинг 757-200. </t>
  </si>
  <si>
    <t>Великобритания</t>
  </si>
  <si>
    <t>Лондон, Великобритания</t>
  </si>
  <si>
    <t>100 % пост оплата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</si>
  <si>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</si>
  <si>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</si>
  <si>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</si>
  <si>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</si>
  <si>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</si>
  <si>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</si>
  <si>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</si>
  <si>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</si>
  <si>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</si>
  <si>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</si>
  <si>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</si>
  <si>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</si>
  <si>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</si>
  <si>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</si>
  <si>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</si>
  <si>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</si>
  <si>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</si>
  <si>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</si>
  <si>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</si>
  <si>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</si>
  <si>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</si>
  <si>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</si>
  <si>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</si>
  <si>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</si>
  <si>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</si>
  <si>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</si>
  <si>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</si>
  <si>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</si>
  <si>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</si>
  <si>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</si>
  <si>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</si>
  <si>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</si>
  <si>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</si>
  <si>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 г</t>
  </si>
  <si>
    <t>2015 г</t>
  </si>
  <si>
    <t>2016 г</t>
  </si>
  <si>
    <t>2017 г</t>
  </si>
  <si>
    <t>Усенбаева Динара, аналитик по закупкам, dinara.ussenbayeva@airastana.com; 7(727)258-41-36 (вн. 4564)</t>
  </si>
  <si>
    <t>2018 г</t>
  </si>
  <si>
    <t>Форма плана долгосрочных закупок товаров, работ и услуг на 2014 - 2018 годы по АО "Эйр Астана"</t>
  </si>
  <si>
    <t>Система электрического снабжения для сидений саамолета типа Boeing 757-200, включая разработку дизайна, тестирование и сертификацию</t>
  </si>
  <si>
    <t>Итого</t>
  </si>
  <si>
    <t>2. Работы</t>
  </si>
  <si>
    <t>1 Р</t>
  </si>
  <si>
    <t>30.30.60.22.00.00.00</t>
  </si>
  <si>
    <t>Работы по реконструкции летательных аппаратов</t>
  </si>
  <si>
    <t>Модернизация воздушного судна</t>
  </si>
  <si>
    <t>Установка  бизнес кресел, эконом кресел, оттоманок, навесных видеомониторов, коврового покрытия, винглетов, транспарантов и тд Boeing  767-300ER</t>
  </si>
  <si>
    <t>Страны Дальнего Зарубежья</t>
  </si>
  <si>
    <t>2 Р</t>
  </si>
  <si>
    <t>30.30.60.22.10.10.20</t>
  </si>
  <si>
    <t>Работы по модернизации кислородных систем воздушных судов</t>
  </si>
  <si>
    <t>Работы по модернизации пассажирской кислородной системы - увеличение продолжительности обеспечения кислородом  с 12 минут до 22 минут на  воздушных судах типа Boeing 757</t>
  </si>
  <si>
    <t>3 Р</t>
  </si>
  <si>
    <t>30.30.60.13.00.00.00</t>
  </si>
  <si>
    <t xml:space="preserve">Работы по текущему ремонту летательных аппаратов </t>
  </si>
  <si>
    <t>Текущий и капитальный ремонт компонентов с ограниченным сроком службы и ремонт запасных частей для воздушных судов типа Boeing 767-300</t>
  </si>
  <si>
    <t>По факту выполнения работ в течение 30 дней</t>
  </si>
  <si>
    <t>4 Р</t>
  </si>
  <si>
    <t>Текущий и капитальный ремонт компонентов с ограниченным сроком службы и  ремонт запасных частей для воздушных судов типа Boeing 757-200</t>
  </si>
  <si>
    <t>5 Р</t>
  </si>
  <si>
    <t>Текущий и капитальный ремонт компонентов с ограниченным сроком службы и ремонт запасных частей для воздушных судов типа Airbus A320/A321</t>
  </si>
  <si>
    <t>6 Р</t>
  </si>
  <si>
    <t>Текущий и капитальный ремонт колес и тормозов для воздушных судов типа Boeing 767-300</t>
  </si>
  <si>
    <t>7 Р</t>
  </si>
  <si>
    <t>Текущий и капитальный ремонт колес и тормозов для воздушных судов типа Boeing 757-200</t>
  </si>
  <si>
    <t>8 Р</t>
  </si>
  <si>
    <t>Текущий и капитальный ремонт колес и тормозов для воздушных судов типа Airbus A320/A321</t>
  </si>
  <si>
    <t>Услуги по технической поддержке тормозной системы и ее компонентов для ВС типа Эйрбас 321</t>
  </si>
  <si>
    <t>9 Р</t>
  </si>
  <si>
    <t>Текущий и капитальный ремонт колес и тормозов для воздушных судов типа Embraer</t>
  </si>
  <si>
    <t>10 Р</t>
  </si>
  <si>
    <t>62.09.10.10.00.00.00</t>
  </si>
  <si>
    <t>Услуги по установке и настройке</t>
  </si>
  <si>
    <t>Услуги по установке и настройке компьютеров</t>
  </si>
  <si>
    <r>
      <t xml:space="preserve">Модернизация и модификация компьютеров на борту воздушных судов типа Boeing </t>
    </r>
    <r>
      <rPr>
        <sz val="10"/>
        <rFont val="Times New Roman"/>
        <family val="1"/>
        <charset val="204"/>
      </rPr>
      <t>757-200/ Boeing 767-300; Airbus A320/321</t>
    </r>
  </si>
  <si>
    <t>11 Р</t>
  </si>
  <si>
    <t>30.30.60.19.00.00.00</t>
  </si>
  <si>
    <t xml:space="preserve">Работы по текущему ремонту двигателей летательных аппаратов </t>
  </si>
  <si>
    <t>Ремонт двигателей воздушных судов типа Boeing 767-300</t>
  </si>
  <si>
    <t>12 Р</t>
  </si>
  <si>
    <t>Ремонт двигателей воздушных судов типа Boeing 757-200</t>
  </si>
  <si>
    <t>13 Р</t>
  </si>
  <si>
    <t>Ремонт двигателей воздушных судов типа Airbus A320/A321</t>
  </si>
  <si>
    <t>14 Р</t>
  </si>
  <si>
    <t>30.30.60.12.00.00.00</t>
  </si>
  <si>
    <t>Ремонт вспомогательных силовых установок</t>
  </si>
  <si>
    <t>Ремонт Вспомогательной силовой установки для воздушных судов типа Boeing 767-300</t>
  </si>
  <si>
    <t>15 Р</t>
  </si>
  <si>
    <t>Ремонт Вспомогательной силовой установки для воздушных судов типа Boeing 757-200</t>
  </si>
  <si>
    <t>16 Р</t>
  </si>
  <si>
    <t>Ремонт Вспомогательной силовой установки для воздушных судов типа Airbus A320/A321</t>
  </si>
  <si>
    <t>Работа по ремонту Вспомогательной Силовой установки ВС (Организация должна быть сертифицирована в соответствии со стандартами EASA Part 145; ремонтный завод производителя)</t>
  </si>
  <si>
    <t>50% перед оказанием услуги  50% по факту оказания услуги</t>
  </si>
  <si>
    <t>18 Р</t>
  </si>
  <si>
    <t>Текущий ремонт двигателей типа СF34-10, устанавливаемых на ВС Embraer 190</t>
  </si>
  <si>
    <t>70 % предоплата, 30 % по факту</t>
  </si>
  <si>
    <t>20 Р</t>
  </si>
  <si>
    <t>Восстановление лакокрасочного покрытия внешней поверхности фюзеляжа ВС в соответствии с требованиями руководства по технической эксплуатации ВС</t>
  </si>
  <si>
    <t>17 Р</t>
  </si>
  <si>
    <t>19 Р</t>
  </si>
  <si>
    <t>3. Услуги</t>
  </si>
  <si>
    <t>64.91.10.10.10.10.00</t>
  </si>
  <si>
    <t>Услуги по лизингу воздушных судов</t>
  </si>
  <si>
    <t xml:space="preserve">Услуги операционного лизинга воздушного судна А320-200 </t>
  </si>
  <si>
    <t>ежемесячные авансовые платежи</t>
  </si>
  <si>
    <t>2 У</t>
  </si>
  <si>
    <t>Услуги операционного лизинга трех воздушных судов типа Embraer Е190</t>
  </si>
  <si>
    <t>Республика Казахстан</t>
  </si>
  <si>
    <t>ежемесячные лизинговые платежи</t>
  </si>
  <si>
    <t>3 У</t>
  </si>
  <si>
    <t>Услуги по операционному лизингу воздушного судна Airbus 321 с серийным номером производителя 1204</t>
  </si>
  <si>
    <t>4 У</t>
  </si>
  <si>
    <t>Услуги по операционному лизингу воздушного судна Boeing 757-200 (MSN28112)</t>
  </si>
  <si>
    <t>5 У</t>
  </si>
  <si>
    <t>Услуги по операционному лизингу воздушного судна Boeing 757-200 (MSN29488)</t>
  </si>
  <si>
    <t>6 У</t>
  </si>
  <si>
    <t>Услуги по операционному лизингу воздушного судна Boeing 757-200 (MSN29489)</t>
  </si>
  <si>
    <t>7 У</t>
  </si>
  <si>
    <t>Услуги по операционному лизингу воздушного судна Boeing 757-200 (MSN28833)</t>
  </si>
  <si>
    <t>8 У</t>
  </si>
  <si>
    <t>30.30.60.10.00.00.00</t>
  </si>
  <si>
    <t>Ремонт шасси</t>
  </si>
  <si>
    <t>Услуги по замене шасси на ВС типа Эйрбас 320</t>
  </si>
  <si>
    <t>Страны ближнего и дальнего зарубежья</t>
  </si>
  <si>
    <t>По факту</t>
  </si>
  <si>
    <t>9 У</t>
  </si>
  <si>
    <t>74.90.21.98.20.10.00</t>
  </si>
  <si>
    <t>Услуги по разработке технической документации</t>
  </si>
  <si>
    <t xml:space="preserve">Услуга по разработке технической документации с предоставлением дополнительного сертификата типа для установки оборудования на Boeing 767-300ER. 
</t>
  </si>
  <si>
    <t>50 % предоплата, 50 % по факту доставки</t>
  </si>
  <si>
    <t>10 У</t>
  </si>
  <si>
    <t>59.13.12.25.10.10.00</t>
  </si>
  <si>
    <t>Услуги по предоставлению и технической поддержке аудио и видеоразвлекательных программ</t>
  </si>
  <si>
    <t>Комплекс услуг по предоставлению и технической поддержке аудио и видеоразвлекательных программ</t>
  </si>
  <si>
    <t>Услуги по обновлению и кодировке аудио - видео содержания  на борту воздушных судов типа Airbus 320/321</t>
  </si>
  <si>
    <t>Республика Казахстан, страны Дальнего и Ближнего Зарубежья</t>
  </si>
  <si>
    <t>14 У</t>
  </si>
  <si>
    <t>96.09.19.90.13.10.00</t>
  </si>
  <si>
    <t>Услуги лизинга запасных частей для воздушного судна</t>
  </si>
  <si>
    <t>Аренда запасных частей для воздушных судов типа Boeing 767-300</t>
  </si>
  <si>
    <t>По факту оказания услуг в течение 30 дней</t>
  </si>
  <si>
    <t>15 У</t>
  </si>
  <si>
    <t>Аренда запасных частей для воздушных судов типа Boeing 757-200</t>
  </si>
  <si>
    <t>16 У</t>
  </si>
  <si>
    <t>Аренда запасных частей для воздушных судов типа Airbus A320/A321</t>
  </si>
  <si>
    <t>17 У</t>
  </si>
  <si>
    <t>Аренда запасных частей для воздушных судов типа Embraer</t>
  </si>
  <si>
    <t>18 У</t>
  </si>
  <si>
    <t>77.39.19.10.00.00.00</t>
  </si>
  <si>
    <t>Услуги по аренде двигателей и турбин</t>
  </si>
  <si>
    <t>Аренда двигателей  воздушных судов типа Boeing 767-300</t>
  </si>
  <si>
    <t>19 У</t>
  </si>
  <si>
    <t>Аренда двигателей воздушных судов типа Boeing 757-200</t>
  </si>
  <si>
    <t>20 У</t>
  </si>
  <si>
    <t>Аренда двигателей воздушных судов типа Airbus A320/A321</t>
  </si>
  <si>
    <t>21 У</t>
  </si>
  <si>
    <t>Аренда двигателей воздушных судов типа Embraer</t>
  </si>
  <si>
    <t>22 У</t>
  </si>
  <si>
    <t>77.39.19.25.10.00.00</t>
  </si>
  <si>
    <t>Услуги по аренде оборудования воздушных судов</t>
  </si>
  <si>
    <t>Калибровка и тестирование инструментов, аренда наземного оборудования для воздушных судов типа Boeing 757-200/ Boeing 767-300; Airbus A320/321; Embraer</t>
  </si>
  <si>
    <t>23 У</t>
  </si>
  <si>
    <t>96.09.19.90.17.00.00</t>
  </si>
  <si>
    <t>Услуги по технической инспекции воздушного судна</t>
  </si>
  <si>
    <t>Проведение технической инспекции воздушного судна, включая различные сборы, а также техническую поддержку, инженерную экспертизу и консультационные услуги, предоставляемыми внешними агентами</t>
  </si>
  <si>
    <t>Техническая инспекция воздушных судов (включая техническую поддержку,  инженерную экспертизу, консультационные услуги, предоставляемые внешними агентами) типа Boeing 757-200/ Boeing 767-300; Airbus A320/321; Embraer</t>
  </si>
  <si>
    <t>24 У</t>
  </si>
  <si>
    <t>52.23.11.22.00.00.00</t>
  </si>
  <si>
    <t>Услуги, связанные с обслуживанием воздушных судов</t>
  </si>
  <si>
    <t>Линейное обслуживание воздушных судов типа Boeing 757-200/ Boeing 767-300; Airbus A320/321; Embraer</t>
  </si>
  <si>
    <t>25 У</t>
  </si>
  <si>
    <t>Техническая документация для воздушных судов типа Boeing 757-200/ Boeing 767-300; Airbus A320/321; Embraer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</si>
  <si>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</si>
  <si>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</si>
  <si>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</si>
  <si>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услуга по разработке и технической поддержке программного обеспечения «Электронная Полетная Кабина (EFB)», класс II для флотов Boeing и Embraer.</t>
  </si>
  <si>
    <t>28 У</t>
  </si>
  <si>
    <t>70.22.15.10.00.00.00</t>
  </si>
  <si>
    <t>Услуги консультационные по вопросам управления производством</t>
  </si>
  <si>
    <t>Услуги консультирования по вопросам управления в области производства и контроля за его качеством.</t>
  </si>
  <si>
    <t>Техническая поддержка при инспекции производства и поставке самолётов A320. Оказание услуг по технической поддержке во время производства ВС типа Эйрбас 320 назаводе-производителе</t>
  </si>
  <si>
    <t>февраль-март</t>
  </si>
  <si>
    <t>страны ближнего и дальнего зарубежья</t>
  </si>
  <si>
    <t xml:space="preserve">100% предоплата </t>
  </si>
  <si>
    <t>29 У</t>
  </si>
  <si>
    <t>Техническая поддержка при инспекции производства и поставке самолётов B767. Оказание услуг по технической поддержке во время производства ВС типа Боинг 767 назаводе-производителе</t>
  </si>
  <si>
    <t>Услуги по наземной технической помощи в г. Ташкент</t>
  </si>
  <si>
    <t>г. Ташкент</t>
  </si>
  <si>
    <t>авансовый платеж - 0, 100 % по факту</t>
  </si>
  <si>
    <t>52.23.12.40.00.00.00</t>
  </si>
  <si>
    <t>Услуги в сфере навигационной деятельности</t>
  </si>
  <si>
    <t>Услуги по предоставлению и актуализации навигационных карт</t>
  </si>
  <si>
    <t>Услуги по предоставлению навигационных карт</t>
  </si>
  <si>
    <t>Страны Ближнего и Дальнего Зарубежья, Республика Казахстан</t>
  </si>
  <si>
    <t>100% оплата по факту оказания услуг</t>
  </si>
  <si>
    <t>услуга по разработке и технической поддержке программного обеспечения «Электронная Полетная Кабина (EFB)», класс II для флотов Airbus.</t>
  </si>
  <si>
    <t>100 % перед оказанием услуги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</si>
  <si>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</si>
  <si>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</si>
  <si>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</si>
  <si>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подписке на веб-сайт по адресу www.partsbase.com</t>
  </si>
  <si>
    <t>62.02.20.20.00.00.00</t>
  </si>
  <si>
    <t>Услуги консультационные по интеграции технического обеспечения</t>
  </si>
  <si>
    <t>Консультации по проведению технической экспертизы по интеграции (совмещению) программного обеспечения с техническим обеспечением.</t>
  </si>
  <si>
    <t>Услуги по интеграции контента для системы RAVE на Б767.</t>
  </si>
  <si>
    <t>100 % по факту оказания услуг</t>
  </si>
  <si>
    <t>100% оплата по факту оказания услуги</t>
  </si>
  <si>
    <t>Лизинг компонентов и запасных частей для воздушных судов семейства Airbus A320 и типа Boeing 767 и Boeing 757</t>
  </si>
  <si>
    <t>96.09.19.90.12.00.00</t>
  </si>
  <si>
    <t>Услуги доступа к общему фонду запасных частей для воздушного судна</t>
  </si>
  <si>
    <t xml:space="preserve"> Доступ к фонду запасных частей для воздушных судов семейства Airbus A320 и типа Boeing 767 и Boeing 757</t>
  </si>
  <si>
    <t>Услуги по обеспечению питанием пассажиров бизнес зала</t>
  </si>
  <si>
    <t>г.Астана</t>
  </si>
  <si>
    <t>1 У</t>
  </si>
  <si>
    <t>11 У</t>
  </si>
  <si>
    <t>12 У</t>
  </si>
  <si>
    <t>13 У</t>
  </si>
  <si>
    <t>26 У</t>
  </si>
  <si>
    <t>27 У</t>
  </si>
  <si>
    <t>30 У</t>
  </si>
  <si>
    <t>31 У</t>
  </si>
  <si>
    <t>32 У</t>
  </si>
  <si>
    <t>33 У</t>
  </si>
  <si>
    <t>34 У</t>
  </si>
  <si>
    <t>согласно протоколу</t>
  </si>
  <si>
    <t>35 У</t>
  </si>
  <si>
    <t>69.10.14.05.00.00.00</t>
  </si>
  <si>
    <t>Услуги юридические консультационные</t>
  </si>
  <si>
    <t>Услуги  юридические консультационные по правовому сопровождению</t>
  </si>
  <si>
    <t>Услуги юридического сопровождения проектирования и строительства авиационно-технического центра на территории  аэропорта города Астана.</t>
  </si>
  <si>
    <t>г.Астана, Казахстан</t>
  </si>
  <si>
    <t xml:space="preserve">По факту оказания услуги, в течение 10 рабочих дней </t>
  </si>
  <si>
    <t>21 Р</t>
  </si>
  <si>
    <t>33.12.11.14.10.00.00</t>
  </si>
  <si>
    <t>Текущий ремонт турбин</t>
  </si>
  <si>
    <t>Текущий ремонт газовой турбины</t>
  </si>
  <si>
    <t>Ремонт ВСУ, устанавливаемых на ВС Boeing &amp; Airbus</t>
  </si>
  <si>
    <t>№</t>
  </si>
  <si>
    <t>68.20.11.00.00.00.02</t>
  </si>
  <si>
    <t>Услуги по аренде домов или меблированных или немеблированных квартир или комнат</t>
  </si>
  <si>
    <t>Услуги по представлению домов или меблированных или немеблированных квартир или комнат для более постоянного пользования</t>
  </si>
  <si>
    <t>Услуги аренды дома (площадью не менее 520 кв.м, не более 530 кв.м.)</t>
  </si>
  <si>
    <t>По факту оказания услуг</t>
  </si>
  <si>
    <t>63.11.11.20.30.00.00</t>
  </si>
  <si>
    <t>Услуги по обработке данных  вычислительными средствами (компьютерами)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</si>
  <si>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</si>
  <si>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Услуги по предоставлению баз данных препятствий аэропортов</t>
  </si>
  <si>
    <t xml:space="preserve">Республика Казахстан, Страны Ближнего и Дальнего Зарубежья </t>
  </si>
  <si>
    <t xml:space="preserve">Поквартальная предоплата </t>
  </si>
  <si>
    <t>Услуги хранения жидкости в аэропорту г.Усть-Каменогорск</t>
  </si>
  <si>
    <t>г.Усть- Каменогорск</t>
  </si>
  <si>
    <t>Услуги по наземному обслуживанию ВС в международном аэропорту г. Оренбург на 2013-2015 гг.</t>
  </si>
  <si>
    <t>ул. Закарпатская (Ахметова), 4А, Эйр Астана Центр 1.</t>
  </si>
  <si>
    <t>Услуги по грузообслуживанию воздушных судов в г. Лондон</t>
  </si>
  <si>
    <t>г.Лондон, Великобритания</t>
  </si>
  <si>
    <t xml:space="preserve"> 52.23.11.19.09.10.00</t>
  </si>
  <si>
    <t>Услуги по обслуживанию пассажиров в аэропорту</t>
  </si>
  <si>
    <t>Аэропортовые сборы за обслуживание пассажиров в г. Баку</t>
  </si>
  <si>
    <t>г. Баку Азербайджан</t>
  </si>
  <si>
    <t>Услуги по наземному обслуживанию воздушных судов в г. Франкфурт</t>
  </si>
  <si>
    <t>г. Франкфурт Германия</t>
  </si>
  <si>
    <t>52.23.11.19.09.10.00</t>
  </si>
  <si>
    <t>Услуги по наземному обслуживанию  пассажиров в г. Франкфурт</t>
  </si>
  <si>
    <t>Услуги по грузообслуживанию воздушных судов в г. Франкфурт</t>
  </si>
  <si>
    <t>52.23.11.22.10.10.10</t>
  </si>
  <si>
    <t>Услуги по обработке противообледенительной жидкостью воздушных судов</t>
  </si>
  <si>
    <t>Услуги по удалению обледенения /противооблединительной  обработке (защите) и очистке от снега/льда г. Пекин</t>
  </si>
  <si>
    <t>г.Пекин, Китай</t>
  </si>
  <si>
    <t>52.23.11.19.00.00.00</t>
  </si>
  <si>
    <t>Услуги аэропортов, кроме обработки грузов, прочие</t>
  </si>
  <si>
    <t>Услуги обслуживания пассажиров бизнес-класса в бизнес-зале аэропорта г. Москва на 2013 г</t>
  </si>
  <si>
    <t xml:space="preserve">август-октябрь </t>
  </si>
  <si>
    <t>г. Москва, Россия</t>
  </si>
  <si>
    <t>Услуги по аэропортовому обслуживанию воздушных судов и пассажиров</t>
  </si>
  <si>
    <t xml:space="preserve">октябрь </t>
  </si>
  <si>
    <t>г. Киев Украина</t>
  </si>
  <si>
    <t>52.24.13.11.00.00.00</t>
  </si>
  <si>
    <t>Услуги по обработке грузов прочие в портах, по выгрузке (выкачке, сливу) грузов</t>
  </si>
  <si>
    <t>услуги по грузообслуживанию воздушных судов в г.Куала-Лумпур, Малайзия</t>
  </si>
  <si>
    <t xml:space="preserve"> г.Куала-Лумпур, Малайзия</t>
  </si>
  <si>
    <t>услуги по наземному обслуживанию ВС в г.Москва, Россия</t>
  </si>
  <si>
    <t>октябрь-декабрь</t>
  </si>
  <si>
    <t>услуги по наземному обслуживанию ВС в г.Баку</t>
  </si>
  <si>
    <t>г.Баку, Азербайджан</t>
  </si>
  <si>
    <t>52.23.11.19.10.00.00</t>
  </si>
  <si>
    <t>Услуги по обслуживанию пассажиров в терминале аэропорта</t>
  </si>
  <si>
    <t>Обслуживание пассажиров в г.Актобе</t>
  </si>
  <si>
    <t>г. Актобе</t>
  </si>
  <si>
    <t>Грузообслуживание в аэропорту г. Санкт-Петербург на 2013-2015 гг.</t>
  </si>
  <si>
    <t xml:space="preserve"> г. Санкт-Петербург</t>
  </si>
  <si>
    <t>52.23.11.16.00.00.00</t>
  </si>
  <si>
    <t>Услуги аэропортов по регистрированию и приему багажа</t>
  </si>
  <si>
    <t>Обслуживание багажа с использованием погрузчика паллет и контейнеров</t>
  </si>
  <si>
    <t xml:space="preserve">г.Душанбе, Таджикистан </t>
  </si>
  <si>
    <t>Услуги по наземному обслуживанию воздушных судов в г. Ташкент</t>
  </si>
  <si>
    <t>Расходы на наземное обслуживание в аэропорту</t>
  </si>
  <si>
    <t xml:space="preserve">г.Усть-Каменогорск, Казахстан </t>
  </si>
  <si>
    <t>Услуги по наземному обслуживанию воздушных судов г. Стамбул</t>
  </si>
  <si>
    <t xml:space="preserve">ежемесячно по факту,
в течение 10-ти банковских дней
</t>
  </si>
  <si>
    <t>Услуги по грузообслуживанию воздушных судов г. Стамбул</t>
  </si>
  <si>
    <t>Услуги обслуживания пассажиров бизнес-класса в бизнес-зале аэропорта города Стамбул</t>
  </si>
  <si>
    <t>Услуги по наземному обслуживанию воздушных судовг. Анталия</t>
  </si>
  <si>
    <t>Услуги по грузообслуживанию воздушных судов г. Анталия</t>
  </si>
  <si>
    <t>Услуги обслуживания пассажиров бизн ес-класса в бизнес-зале аэропорта города Сеул</t>
  </si>
  <si>
    <t>Услуги по наземному обслуживанию воздушных судов</t>
  </si>
  <si>
    <t>Услуги по грузообслуживанию воздушных судов</t>
  </si>
  <si>
    <t>Услуги обеспечения контроля обслуживания рейса</t>
  </si>
  <si>
    <t>Услуги обслуживания пассажиров бизн ес-класса в бизнес-зале аэропорта города Хошимин</t>
  </si>
  <si>
    <t>Услуги по наземному обслуживанию воздушных судов в г. Киев</t>
  </si>
  <si>
    <t>Услуги по уборке салона воздушных судов в г. Киев</t>
  </si>
  <si>
    <t>Услуги по грузообслуживанию воздушных судов в г. Киев</t>
  </si>
  <si>
    <t>Услуги представителей для обеспечения контроля обслуживания рейса в г. Киев</t>
  </si>
  <si>
    <t>Услуги обслуживания пассажиров бизнес-класса в бизнес-зале аэропорта города Киев</t>
  </si>
  <si>
    <t>Услуги обслуживания пассажиров в бизнес залах аэропортов</t>
  </si>
  <si>
    <t>г. Бишкек</t>
  </si>
  <si>
    <t>Услуги сканирования багажа в аэропорту города Лондон.</t>
  </si>
  <si>
    <t>г. Лондон</t>
  </si>
  <si>
    <t>96.09.19.90.11.00.00</t>
  </si>
  <si>
    <t>Услуги по очистке салона воздушного судна</t>
  </si>
  <si>
    <t>Чистка салона воздушного судна</t>
  </si>
  <si>
    <t>Услуги по уборке салонов воздушных судов в г. Франкфурт.</t>
  </si>
  <si>
    <t>Германия,                      г. Франкфурт</t>
  </si>
  <si>
    <t>56.10.12.30.10.00.00</t>
  </si>
  <si>
    <t>Услуги по обеспечению питанием на прочем пассажирском транспорте</t>
  </si>
  <si>
    <t>Бортовое питание пассажиров на 2013-2015 гг</t>
  </si>
  <si>
    <t>Бортовое питание пассажиров в г.Франкфурт</t>
  </si>
  <si>
    <t>55.10.10.10.00.00.00</t>
  </si>
  <si>
    <t>Услуги гостиниц</t>
  </si>
  <si>
    <t>Гостининичные услуги</t>
  </si>
  <si>
    <t xml:space="preserve">Гостиничные услуги в городе Оренбург на 2013-2014 гг. (однокомнатный одноместный номер в 3 звездочной гостинице). </t>
  </si>
  <si>
    <t>г. Оренбург</t>
  </si>
  <si>
    <t xml:space="preserve">Гостиничные услуги в городе Франкфурт на 2013-2014 гг. (одноместный номер в 5 звездочной гостинице). </t>
  </si>
  <si>
    <t>г. Франкфурт</t>
  </si>
  <si>
    <t xml:space="preserve">Гостиничные услуги в городе Франкфурт на 2013-2014 гг. (двухместный номер в 5 звездочной гостинице). </t>
  </si>
  <si>
    <t>Гостиничные услуги в г. Алматы (одноместный стандартный номер в пятизвездочной гостинице).</t>
  </si>
  <si>
    <t>Гостиничные услуги в г. Алматы
(двухместный/с раздельными кроватями  стандартный номер в пятизвездочной гостинице).</t>
  </si>
  <si>
    <t>Гостиничные услуги в г. Алматы
(одноместный стандартный номер в четырехзвездочной гостинице).</t>
  </si>
  <si>
    <t>Гостиничные услуги в г. Алматы
(двухместный/с раздельными кроватями  стандартный номер в четырехзвездочной гостинице).</t>
  </si>
  <si>
    <t>Гостиничные услуги в г. Алматы
(одноместный стандартный номер в трехзвездочной гостинице).</t>
  </si>
  <si>
    <t>Гостиничные услуги в г. Алматы (двухместный/с раздельными кроватями  стандартный номер в трехзвездочной гостинице).</t>
  </si>
  <si>
    <t>Гостиничные услуги в г. Астане
(одноместный стандартный номер в пятизвездочной гостинице).</t>
  </si>
  <si>
    <t>г. Астана</t>
  </si>
  <si>
    <t>Гостиничные услуги в г. Астане
(двухместный/с раздельными кроватями  стандартный номер в пятизвездочной гостинице).</t>
  </si>
  <si>
    <t>Гостиничные услуги в г. Астане
(одноместный стандартный номер в четырехзвездочной гостинице).</t>
  </si>
  <si>
    <t>Гостиничные услуги в г. Астане
(двухместный/с раздельными кроватями  стандартный номер в четырехзвездочной гостинице).</t>
  </si>
  <si>
    <t>Услуги проживания экипажа и сотрудников в одноместных и двуместных номерах гостиниц, Киев</t>
  </si>
  <si>
    <t>Март</t>
  </si>
  <si>
    <t>г. Киев</t>
  </si>
  <si>
    <t>Услуги проживания экипажа и сотрудников в одноместных и двуместных номерах гостиниц, Екатеринбург</t>
  </si>
  <si>
    <t>Июль</t>
  </si>
  <si>
    <t>г. Екатеренбург</t>
  </si>
  <si>
    <t>Услуги проживания экипажа и сотрудников в одноместных и двуместных номерах гостиниц, Абу-Даби</t>
  </si>
  <si>
    <t>г. Абу- Даби</t>
  </si>
  <si>
    <t xml:space="preserve">52.23.12.30.00.00.00
</t>
  </si>
  <si>
    <t xml:space="preserve">Услуги аэронавигационного обслуживания
</t>
  </si>
  <si>
    <t xml:space="preserve">услуги аэронавигации в зоне аэродрома; услуги аэронавигации верхнего воздушного пространства 
</t>
  </si>
  <si>
    <t>Услуги по управлению воздушным движением в г. Урумчи</t>
  </si>
  <si>
    <t>г. Урумчи</t>
  </si>
  <si>
    <t>100% по факту оказания услуг</t>
  </si>
  <si>
    <t>Аэронавигационное обслуживание воздушных судов на 2013-2014 года в городе Бишкек</t>
  </si>
  <si>
    <t>г.Бишкек</t>
  </si>
  <si>
    <t>52.23.12.30.00.00.00</t>
  </si>
  <si>
    <t xml:space="preserve">Аэронавигационное обслуживание воздушных судов на 2013-2014 года в воздушном пространстве Республики Узбекистан. </t>
  </si>
  <si>
    <t>33.11.14.20.15.00.00</t>
  </si>
  <si>
    <t>Техническое сопровождение и обслуживание тренажеров и полигонного оборудования</t>
  </si>
  <si>
    <t>Техподдержка и обслуживание виртуально-процедурных тренажеров Аеробус, Боинг, Эмбраер</t>
  </si>
  <si>
    <t>ежеквартально по факту оказания услуг</t>
  </si>
  <si>
    <t>Гостиничные услуги для организации участия пилотов в тренинге на 2013-2014гг.</t>
  </si>
  <si>
    <t>Франция, г. Тулуза</t>
  </si>
  <si>
    <t xml:space="preserve">100% по факту 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</si>
  <si>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</si>
  <si>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</si>
  <si>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</si>
  <si>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 xml:space="preserve">Услуги по предоставлению обучения  курсу EASA Part 66 Cat B1.1 </t>
  </si>
  <si>
    <t>октябрь</t>
  </si>
  <si>
    <t>г. Мюнхен, Германия</t>
  </si>
  <si>
    <t>Услуги по предоставлению обучения для кадетов по управлению воздушными судами</t>
  </si>
  <si>
    <t>январь</t>
  </si>
  <si>
    <t xml:space="preserve"> По факту оказания услуг в течение 20 (двадцати) рабочих дней, с момента получения счета на оплату</t>
  </si>
  <si>
    <t>Ведение системы реестров держателей ценных бумаг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</si>
  <si>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</si>
  <si>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</si>
  <si>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</si>
  <si>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г.Амстердам, Нидерланды</t>
  </si>
  <si>
    <t>61.10.30.01.00.00.00</t>
  </si>
  <si>
    <t xml:space="preserve">Услуги по передаче данных </t>
  </si>
  <si>
    <t>Услуги по передаче данных по сетям телекоммуникационным проводным</t>
  </si>
  <si>
    <t>Услуги по передаче сообщений типа "Б"</t>
  </si>
  <si>
    <t>Казахстан, Страны 
ближнего и дальнего зарубежья</t>
  </si>
  <si>
    <t>Услуга использованию системы регистрации пассажиров</t>
  </si>
  <si>
    <t>Гонконг</t>
  </si>
  <si>
    <t>Расходы по СИТА, услуга прямого доступа к сети SITA (IP VPN)</t>
  </si>
  <si>
    <t>Расходы по СИТА, услуга доступа через сети SITA (Circuit)</t>
  </si>
  <si>
    <t>Расходы по СИТА, услуга доступа через сети SITA (ServiceNet)</t>
  </si>
  <si>
    <t>Расходы по СИТА, услуга подключения станции к сети SITA (Express IP)</t>
  </si>
  <si>
    <t>Расходы по СИТА, услуга подключения станции к сети SITA (MDNS at Airport)</t>
  </si>
  <si>
    <t>Расходы по СИТА, услуга подключения платформы к сети SITA (Cute MDNS)</t>
  </si>
  <si>
    <t>Расходы по СИТА, услуга пользования адресом Типа "Б"</t>
  </si>
  <si>
    <t>Расходы по СИТА, Трафик Типа "Б" (Type B traffic)</t>
  </si>
  <si>
    <t>Расходы по СИТА, услуга по использоваению Системы обмена сообщениями (Sitatex)</t>
  </si>
  <si>
    <t xml:space="preserve">Расходы по СИТА, услуги по содержанию и обслуживанию оборудования для системы регистрации и посадки пассажиров в международном аэропорту г. Франкфурт-на-Майне. </t>
  </si>
  <si>
    <t xml:space="preserve">г. Франкфурт-на-Майне. </t>
  </si>
  <si>
    <t>Услуги регистрации пассажиров</t>
  </si>
  <si>
    <t>г. Казань</t>
  </si>
  <si>
    <t>Услуги отправки телеграммы по окончанию регистрации пассажиров в локальной сети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</si>
  <si>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</si>
  <si>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</si>
  <si>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</si>
  <si>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 xml:space="preserve">Телекоммуникационные услуги </t>
  </si>
  <si>
    <t>январь-февраль</t>
  </si>
  <si>
    <t>Астана</t>
  </si>
  <si>
    <t>68.20.12.00.00.00.01</t>
  </si>
  <si>
    <t>Услуги по аренде офисных помещений</t>
  </si>
  <si>
    <t>аренда офиса, складских помещений, включая коммунальные услуги</t>
  </si>
  <si>
    <t>март</t>
  </si>
  <si>
    <t xml:space="preserve">ежемесячно по факту,
в течение 10-ти рабочих дней
</t>
  </si>
  <si>
    <t>35.12.10.10.00.00.00</t>
  </si>
  <si>
    <t xml:space="preserve">Услуги по передаче электрической энергии по национальной электрической сети </t>
  </si>
  <si>
    <t xml:space="preserve">Оказание услуг по передаче электрической энергии по национальной электрической сети системным оператором </t>
  </si>
  <si>
    <t>Услуги электроснабжения помещений в аэропорту города Кызылорда на 2013 год (Дневная ставка)</t>
  </si>
  <si>
    <t>г. Кызылорда</t>
  </si>
  <si>
    <t>68.20.12.00.00.00.07</t>
  </si>
  <si>
    <t>Услуги по аренде складских помещений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</si>
  <si>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</si>
  <si>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</si>
  <si>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</si>
  <si>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Услуги круглосуточной охраны объектов</t>
  </si>
  <si>
    <t>Услуги круглосуточной вооруженной охраны</t>
  </si>
  <si>
    <t>г. Атырау</t>
  </si>
  <si>
    <t>74.90.21.15.00.00.00</t>
  </si>
  <si>
    <t>Услуги информационного мониторинга</t>
  </si>
  <si>
    <t>Исследование и мониторинг в Интернете</t>
  </si>
  <si>
    <t>Био-математическая система моделирования утомляемости экипажей c услугой технической поддержки</t>
  </si>
  <si>
    <t>80.10.12.20.00.00.00</t>
  </si>
  <si>
    <t>Услуги по инкассации</t>
  </si>
  <si>
    <t>Услуги инкассации, пересчета, перечисления денежных средств и доставки ценностей в городе Москва</t>
  </si>
  <si>
    <t>Россия, г.Москва</t>
  </si>
  <si>
    <t xml:space="preserve">66.19.92.00.00.00.01
</t>
  </si>
  <si>
    <t xml:space="preserve">Услуги, связанные с заключением финансовых сделок и выполнением функций расчетной палаты </t>
  </si>
  <si>
    <t>Услуги по организации финансирования приобретения воздушного судна Эйрбас 320 в количестве 1 единицы</t>
  </si>
  <si>
    <t>Оплата процентного вознаграждения на ежеквартальной/ежемесячной основе в течение срока финансирования</t>
  </si>
  <si>
    <t xml:space="preserve">Услуги по организации финансирования приобретения воздушного судна Эйрбас 320 </t>
  </si>
  <si>
    <t>70.22.30.10.00.00.00</t>
  </si>
  <si>
    <t>Услуги консультационные по вопросам предпринимательства</t>
  </si>
  <si>
    <t>Услуги консультационные по вопросам предпринимательства, с оказанием управленческой и организационной поддержки</t>
  </si>
  <si>
    <t>Услуги поддержки в предоставления отчета по мониторингу по схеме торговли квотами на выброс (ETS)</t>
  </si>
  <si>
    <t>56.10.19.20.10.10.00</t>
  </si>
  <si>
    <t>Услуги по обеспечению питанием на воздушных судах</t>
  </si>
  <si>
    <t>Питание на борту г. Киев</t>
  </si>
  <si>
    <t>г.Киев</t>
  </si>
  <si>
    <t>С момента заключения договора до 31.12.2015г. включительно</t>
  </si>
  <si>
    <t>Для разработки и внедрения  системы грузоперевозок</t>
  </si>
  <si>
    <t>Услуги по наземному обслуживанию воздушных судов и пассажиров</t>
  </si>
  <si>
    <t>г. Дели, Индия</t>
  </si>
  <si>
    <t>Услуги по наземному обслуживанию воздушных судов и пассажиров в г. Ганновер</t>
  </si>
  <si>
    <t>г. Ганновер Германия</t>
  </si>
  <si>
    <t>Услуги по грузообслуживанию воздушных судов в г. Ганновер</t>
  </si>
  <si>
    <t>78.10.11.10.00.00.00</t>
  </si>
  <si>
    <t>Услуги по поиску руководящих работников</t>
  </si>
  <si>
    <t>Поиск руководящих работников для последующего найма</t>
  </si>
  <si>
    <t>Услуги рекрутингового агентства по поиску кандидата на позицию "Директор по обучению и стандартам производства полетов"</t>
  </si>
  <si>
    <t>Казахстан, г.Алматы</t>
  </si>
  <si>
    <t>78.10.11.11.00.00.00</t>
  </si>
  <si>
    <t>Услуги по поиску вспомогательного офисного персонала и других категорий работников</t>
  </si>
  <si>
    <t>Поиск вспомогательного офисного персонала и других категорий работников для последующего найма</t>
  </si>
  <si>
    <t>Услуги рекрутингового агентства по поиску кандидата на позицию «Менеджер инженерно-технического обеспечения»</t>
  </si>
  <si>
    <t>Услуги рекрутингового агентства по поиску кандидата на позицию «Консультант по интерьеру самолета»</t>
  </si>
  <si>
    <t>49.31.22.10.10.00.00</t>
  </si>
  <si>
    <t>Услуги по перевозкам внутригородские специальные пассажирские автобусами (автомобилями) по маршруту город-аэропорт или город-вокзал</t>
  </si>
  <si>
    <t>Перевозки внутригородские специальные пассажирские автобусами (автомобилями) по маршруту город-аэропорт или город-вокзал</t>
  </si>
  <si>
    <t>Услуга трансфера г. Алматы (аэропорт – гостиница – аэропорт)</t>
  </si>
  <si>
    <t>Услуга трансфера г. Астана (аэропорт – гостиница – аэропорт)</t>
  </si>
  <si>
    <t>г. Астана Казахстан</t>
  </si>
  <si>
    <t>49.39.32.10.00.00.00</t>
  </si>
  <si>
    <t>Услуги внутригородских и пригородных экскурсионных автобусов</t>
  </si>
  <si>
    <t>Услуги по организации и проведению обзорной экскурсии по г. Алматы</t>
  </si>
  <si>
    <t>Услуги по организации и проведению обзорной экскурсии по г. Астане</t>
  </si>
  <si>
    <t>52.10.19.20.13.00.00</t>
  </si>
  <si>
    <t xml:space="preserve">Транспортно-логистические услуги 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</si>
  <si>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</si>
  <si>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Услуги по  доставке мелкогабаритных грузов</t>
  </si>
  <si>
    <t>Страны СНГ, Ближний и альнее зарубежье</t>
  </si>
  <si>
    <t>77.33.12.14.00.00.00</t>
  </si>
  <si>
    <t>Услуги по аренде магнитных или оптических считывающих устройств</t>
  </si>
  <si>
    <t>Краткосрочная, среднесрочная или долгосрочная аренда (прокат) магнитных или оптических считывающих устройств</t>
  </si>
  <si>
    <t>Услуга использования считывателей паспортов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</si>
  <si>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</si>
  <si>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</si>
  <si>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</si>
  <si>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ЦП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</si>
  <si>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</si>
  <si>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</si>
  <si>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</si>
  <si>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82.19.12.00.00.10.00</t>
  </si>
  <si>
    <t>Услуги по составлению списков адресатов и рассылке материалов по ним</t>
  </si>
  <si>
    <t>Составление списков адресатов и рассылка материалов по ним</t>
  </si>
  <si>
    <t>Система по рассылке материалов</t>
  </si>
  <si>
    <t>Техническая  поддержка системы по рассылке материалов</t>
  </si>
  <si>
    <t>Услуги по обеспечению паспортного контроля убывающих пассажиров в г.Алматы</t>
  </si>
  <si>
    <t>Услуги по обеспечению паспортного контроля убывающих пассажиров в г.Астана</t>
  </si>
  <si>
    <t>Аренда помещений в г. Астана</t>
  </si>
  <si>
    <t>Услуги по читске топливных пятен на перроне на 2013-2014 гг.</t>
  </si>
  <si>
    <t>г. Пекин</t>
  </si>
  <si>
    <t>Услуги по обработке грузов в г.Актобе</t>
  </si>
  <si>
    <t>г.Актобе</t>
  </si>
  <si>
    <t>58.29.50.20.11.00.00</t>
  </si>
  <si>
    <t>Услуги по предоставлению лицензий на право использования  программ для управления базами данных</t>
  </si>
  <si>
    <t>Услуги по предоставлению лицензий на право использования  программ для управления базами данных,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</si>
  <si>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 xml:space="preserve">Доступ к Базе данных Ascend </t>
  </si>
  <si>
    <t>Наземное обсулживание в международном аэропорту г. Дели</t>
  </si>
  <si>
    <t>предоплата - 0, 100% по факту</t>
  </si>
  <si>
    <t>Услуги обслуживания убывающих пассажиров в аэропорту г. Гонконг на 2014-2018 гг.</t>
  </si>
  <si>
    <t>г. Гонконг</t>
  </si>
  <si>
    <t>Услуги по наземному обслуживанию в г. Санкт-Петербург</t>
  </si>
  <si>
    <t>Россия, г. Сенкт-Петербург</t>
  </si>
  <si>
    <t>Наземное обсулживание в международном аэропорту г.Лондон</t>
  </si>
  <si>
    <t>Авиационное обеспечение безопасности груза в г. Сеул, Корея</t>
  </si>
  <si>
    <t xml:space="preserve"> г. Сеул, Корея</t>
  </si>
  <si>
    <t>66.19.32.00.00.00.01</t>
  </si>
  <si>
    <t xml:space="preserve">Услуги по хранению </t>
  </si>
  <si>
    <t>Услуги по хранению</t>
  </si>
  <si>
    <t>Услуги по хранению и обработке грузов на СВХ (авиа) в г. Алматы.</t>
  </si>
  <si>
    <t>Услуги по хранению и обработке грузов на СВХ (Ж/д и авто)_ в г. Алматы.</t>
  </si>
  <si>
    <t>Услуги по хранению и обработке грузов на СВХ в г. Астана.</t>
  </si>
  <si>
    <t>Услуги по хранению и обработке грузов на СВХ в г. Атырау.</t>
  </si>
  <si>
    <t>82.92.10.12.00.00.00</t>
  </si>
  <si>
    <t>Услуги упаковочные</t>
  </si>
  <si>
    <t>Упаковывание продукции с использованием ящиков, палет (транспортные поддоны)</t>
  </si>
  <si>
    <t xml:space="preserve">Услуги обеспечения воздушного судна средствами пакетирования </t>
  </si>
  <si>
    <t>Услуги проживания экипажа и сотрудников в одноместных номерах гостиниц, Москва</t>
  </si>
  <si>
    <t>г. Москва</t>
  </si>
  <si>
    <t>Услуги проживания экипажа и сотрудников в двуместных номерах гостиниц, Москва</t>
  </si>
  <si>
    <t>Услуги проживания экипажа и сотрудников в одноместных номерах гостиниц, Хошимин</t>
  </si>
  <si>
    <t>г. Хошимин</t>
  </si>
  <si>
    <t>Услуги проживания экипажа и сотрудников в двуместных номерах гостиниц, Хошимин</t>
  </si>
  <si>
    <t>Услуги проживания экипажа и сотрудников в одноместных  номерах гостиниц, Амстердам</t>
  </si>
  <si>
    <t>г. Амстердам</t>
  </si>
  <si>
    <t>Услуги проживания экипажа и сотрудников в  двуместных номерах гостиниц, Амстердам</t>
  </si>
  <si>
    <t>Услуги проживания экипажа и сотрудников в одноместных номерах гостиниц, Сеул</t>
  </si>
  <si>
    <t>г. Сеул</t>
  </si>
  <si>
    <t>Услуги проживания экипажа и сотрудников в двуместных номерах гостиниц, Сеул</t>
  </si>
  <si>
    <t>Услуги проживания экипажа и сотрудников в одноместных  номерах гостиниц, Франкфурт</t>
  </si>
  <si>
    <t>Услуги проживания экипажа и сотрудников в двуместных номерах гостиниц, Франкфурт</t>
  </si>
  <si>
    <t>Услуги проживания экипажа и сотрудников в двуместных номерах гостиниц, Гонконг</t>
  </si>
  <si>
    <t>Услуги по обеспечению питанием пассажиров и экипажа  на борту для обеспечения рейсов из аэропорта г. Москва</t>
  </si>
  <si>
    <t>Россия, г. Москва</t>
  </si>
  <si>
    <t>Услуги по обеспечению питанием пассажиров и экипажа  на борту для  обеспечения рейсов из аэропорта г. Санкт-Петербург</t>
  </si>
  <si>
    <t>Россия, г. Санкт-Петербург</t>
  </si>
  <si>
    <t>62.01.11.60.20.00.00</t>
  </si>
  <si>
    <t>Услуги по внедрению информационных систем</t>
  </si>
  <si>
    <t xml:space="preserve">Услуги по внедрению и технической поддержке системы Электронный архив </t>
  </si>
  <si>
    <t>предоплата 50% от стоимости внедрения будетосуществлена после заключения договора. Оплата 50% от стоимости внедрения системы. 100% ежеквартальная предоплата за тех поддержку</t>
  </si>
  <si>
    <t>Услуги доступа к системе MyIdTravel</t>
  </si>
  <si>
    <t>96.09.19.90.15.00.00</t>
  </si>
  <si>
    <t>Услуги по составлению и публикации расписаний</t>
  </si>
  <si>
    <t>Составление и публикация расписаний компании</t>
  </si>
  <si>
    <t xml:space="preserve">Составление зимнего и летнего онлайн расписания </t>
  </si>
  <si>
    <t>100% в течении 10 дней с момента оказания услуги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</si>
  <si>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</si>
  <si>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</si>
  <si>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</si>
  <si>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Техническое обслуживание онлайн расписания и карты маршрутов</t>
  </si>
  <si>
    <t>Услуги по первоначальной подготовке и переподготовке пилотов на тип самолета Эмбраер 170/190 на 2014-2015 гг.</t>
  </si>
  <si>
    <t>г.Амстердам</t>
  </si>
  <si>
    <t>12.2013- 01.2014</t>
  </si>
  <si>
    <t>C-check ВС типа Boeing 757/Airbus 320</t>
  </si>
  <si>
    <t>Китай</t>
  </si>
  <si>
    <t>50% предоплата, 50% по факту выполнения работ</t>
  </si>
  <si>
    <t>D-check ВС типа Boeing 757/Airbus 320</t>
  </si>
  <si>
    <t>68.20.12.00.00.00.02</t>
  </si>
  <si>
    <t>Услуги по аренде производственного помещения</t>
  </si>
  <si>
    <t>Аренда помещения в г. Астана</t>
  </si>
  <si>
    <t>предоплата-100%, 0%- по факту</t>
  </si>
  <si>
    <t>Аренда офисных  помещений в г. Алматы</t>
  </si>
  <si>
    <t>Ежемесячно, по факту выполненных услуг до 10-го числа месяца, следующего за отчетным месяцем</t>
  </si>
  <si>
    <t>Передача и распределение электроэнергии в г. Астана</t>
  </si>
  <si>
    <t>Передача и распределение электроэнергии в г. Усть-Каменогорск</t>
  </si>
  <si>
    <t>г. Усть-Каменогорск</t>
  </si>
  <si>
    <t>62.02.30.45.00.00.00</t>
  </si>
  <si>
    <t>Услуги по сопровождению и технической поддержке информационной системы</t>
  </si>
  <si>
    <t>Услуги по технической поддержке системы управления доходами PROS на 2014-2016 гг</t>
  </si>
  <si>
    <t>предоплата - 100, 0% по факту</t>
  </si>
  <si>
    <t>43.21.10.16.14.10.00</t>
  </si>
  <si>
    <t>Услуги, связанные с прокладкой телекоммуникационных линий здания (оптоволоконные кабели)</t>
  </si>
  <si>
    <t xml:space="preserve">Расходы по СИТА, услуги связи с воздушными суднами  </t>
  </si>
  <si>
    <t>Услуги по контролю за пассажиропотоком - получению персональных данных пассажиров</t>
  </si>
  <si>
    <t>Индия, Международжный аэропорт г. Дели</t>
  </si>
  <si>
    <t>61.10.13.01.01.00.00</t>
  </si>
  <si>
    <t xml:space="preserve">Услуги частных сетей по предоставлению линий телекоммуникационных проводных </t>
  </si>
  <si>
    <t>Услуги частных сетей по предоставлению линий телекоммуникационных проводных, аренда местной и прямой линии связи</t>
  </si>
  <si>
    <t>Услуги аренды прямого провода</t>
  </si>
  <si>
    <t>61.10.53.02.00.00.00</t>
  </si>
  <si>
    <t>Услуги по распространению программ по инфраструктуре кабельной</t>
  </si>
  <si>
    <t>Услуги по подключению дополнительной точки в сети инфраструктуры кабельной на абонентской основе</t>
  </si>
  <si>
    <t xml:space="preserve">Услуги по предоставлению точки входа в сеть AFTN </t>
  </si>
  <si>
    <t>г. Астана, Аэропорт</t>
  </si>
  <si>
    <t>61.20.42.10.00.00.00</t>
  </si>
  <si>
    <t xml:space="preserve">Услуги по доступу к Интернету </t>
  </si>
  <si>
    <t xml:space="preserve">Услуги по доступу к Интернету широкополосному по сетям беспроводным </t>
  </si>
  <si>
    <t>Услуги по предоставлению доступа к сети Интернет в городе Павлодар</t>
  </si>
  <si>
    <t>Аэропорт г. Павлодар</t>
  </si>
  <si>
    <t>Услуги по предоставлению доступа к сети Интернет в городе Кызылорда</t>
  </si>
  <si>
    <t>Аэропорт г. Кызылорда</t>
  </si>
  <si>
    <t xml:space="preserve">Услуги по предоставлению доступа к сети Интернет в городе Джезказган </t>
  </si>
  <si>
    <t>Аэропорт г. Джезгазган</t>
  </si>
  <si>
    <t>61.90.10.07.00.00.00</t>
  </si>
  <si>
    <t>Услуги аренды IP каналов</t>
  </si>
  <si>
    <t>Аренда IP VPN каналов (выделенная линия)</t>
  </si>
  <si>
    <r>
      <t xml:space="preserve">Аренда 2 портов VPN, с </t>
    </r>
    <r>
      <rPr>
        <sz val="10"/>
        <color indexed="63"/>
        <rFont val="Times New Roman"/>
        <family val="1"/>
      </rPr>
      <t>пропускной способностью 10 Мбит/с</t>
    </r>
  </si>
  <si>
    <t>61.20.11.10.00.00.00</t>
  </si>
  <si>
    <t>Услуги мобильной связи</t>
  </si>
  <si>
    <t>Услуги мобильной связи - доступ и пользование</t>
  </si>
  <si>
    <t>Услуги предоставления сотовой связи</t>
  </si>
  <si>
    <t>Техническая поддержка хостинга корпоративного сайта</t>
  </si>
  <si>
    <t>Услуги по разработке, внедрению и технической поддержке Системы управления безопасностью и гарантии качества</t>
  </si>
  <si>
    <t>15% предоплата после заключения договора, 35% постоплата после внедрения системы, 50% постоплата по истечении 3-х месяцев успешной операционной деятельности системы. 100% ежеквартальная предоплата за техническую поддержку</t>
  </si>
  <si>
    <t>62.09.20.20.90.00.00</t>
  </si>
  <si>
    <t>Услуги по пользованию программными продуктами, находящимся в удаленном доступе</t>
  </si>
  <si>
    <t>Услуги по пользованию программным продуктом Airman web</t>
  </si>
  <si>
    <t>100% ежегодная предоплата</t>
  </si>
  <si>
    <t>Внедрение и техническая поддержка  системы для сбора, обработки и использования полетных данных, полученных с воздушных суднов</t>
  </si>
  <si>
    <t>15% предоплата после заключения договора, 35% по факту, после внедрения системы, 50% по факту по истечении 3-х месяцев успешной операционной деятельности системы. 100% ежеквартальная предоплата за техническую поддержку</t>
  </si>
  <si>
    <t>Система по планированию коммерческого расписания с услугами внедрения и технической поддержки</t>
  </si>
  <si>
    <t>Оплата 5% от стоимости внедрения будет осуществлена после заключения контракта (в течение 30 дней); Оплата 20% от стоимости внедрения каждого модуля системы будет осуществлена после завершения внедрения каждого модуля и предоставления его для тестирования; Оплата остаточной стоимости внедрения для каждого модуля системы будет произведена по истечении 3-х месяцев успешной операционной деятельности в соответствующем модуле системы. Оплата за услуги технической поддержки будет осуществляться ежемесячно.</t>
  </si>
  <si>
    <t>Система по оперативному управлению с услугами внедрения и технической поддержки</t>
  </si>
  <si>
    <t>Система для отслеживания рейсов авиакомпании с услугами внедрения и технической поддержки</t>
  </si>
  <si>
    <t>Система по планированию технического обслуживания воздушных судов с услугами внедрения и технической поддержки</t>
  </si>
  <si>
    <t>Система по планированию экипажа авиакомпании с услугами внедрения и технической поддержки</t>
  </si>
  <si>
    <t>Доп соглашение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</si>
  <si>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</si>
  <si>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</si>
  <si>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</si>
  <si>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</si>
  <si>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</si>
  <si>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</si>
  <si>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</si>
  <si>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</si>
  <si>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</si>
  <si>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</si>
  <si>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</si>
  <si>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</si>
  <si>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</si>
  <si>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</si>
  <si>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</si>
  <si>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</si>
  <si>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</si>
  <si>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</si>
  <si>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</si>
  <si>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</si>
  <si>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</si>
  <si>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</si>
  <si>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</si>
  <si>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</si>
  <si>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</si>
  <si>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</si>
  <si>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</si>
  <si>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</si>
  <si>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</si>
  <si>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</si>
  <si>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</si>
  <si>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</si>
  <si>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</si>
  <si>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</si>
  <si>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</si>
  <si>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</si>
  <si>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</si>
  <si>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</si>
  <si>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</si>
  <si>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</si>
  <si>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</si>
  <si>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</si>
  <si>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</si>
  <si>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</si>
  <si>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</si>
  <si>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</si>
  <si>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</si>
  <si>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</si>
  <si>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</si>
  <si>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</si>
  <si>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</si>
  <si>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</si>
  <si>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</si>
  <si>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</si>
  <si>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</si>
  <si>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</si>
  <si>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</si>
  <si>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</si>
  <si>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</si>
  <si>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</si>
  <si>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</si>
  <si>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</si>
  <si>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</si>
  <si>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</si>
  <si>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</si>
  <si>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</si>
  <si>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</si>
  <si>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</si>
  <si>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</si>
  <si>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</si>
  <si>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</si>
  <si>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</si>
  <si>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</si>
  <si>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</si>
  <si>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</si>
  <si>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</si>
  <si>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</si>
  <si>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</si>
  <si>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</si>
  <si>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</si>
  <si>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</si>
  <si>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</si>
  <si>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</si>
  <si>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</si>
  <si>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</si>
  <si>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</si>
  <si>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</si>
  <si>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</si>
  <si>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</si>
  <si>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</si>
  <si>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</si>
  <si>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</si>
  <si>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</si>
  <si>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</si>
  <si>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</si>
  <si>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</si>
  <si>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</si>
  <si>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</si>
  <si>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</si>
  <si>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</si>
  <si>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</si>
  <si>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</si>
  <si>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</si>
  <si>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</si>
  <si>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</si>
  <si>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</si>
  <si>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</si>
  <si>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</si>
  <si>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</si>
  <si>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</si>
  <si>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</si>
  <si>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</si>
  <si>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</si>
  <si>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</si>
  <si>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</si>
  <si>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</si>
  <si>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</si>
  <si>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</si>
  <si>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</si>
  <si>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</si>
  <si>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</si>
  <si>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</si>
  <si>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</si>
  <si>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</si>
  <si>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</si>
  <si>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</si>
  <si>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</si>
  <si>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</si>
  <si>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</si>
  <si>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</si>
  <si>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</si>
  <si>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</si>
  <si>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</si>
  <si>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</si>
  <si>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</si>
  <si>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</si>
  <si>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</si>
  <si>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</si>
  <si>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</si>
  <si>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</si>
  <si>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</si>
  <si>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</si>
  <si>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</si>
  <si>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</si>
  <si>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</si>
  <si>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</si>
  <si>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</si>
  <si>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</si>
  <si>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</si>
  <si>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</si>
  <si>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</si>
  <si>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</si>
  <si>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</si>
  <si>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</si>
  <si>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</si>
  <si>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</si>
  <si>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</si>
  <si>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</si>
  <si>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</si>
  <si>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</si>
  <si>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</si>
  <si>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</si>
  <si>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</si>
  <si>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</si>
  <si>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</si>
  <si>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</si>
  <si>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</si>
  <si>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</si>
  <si>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</si>
  <si>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</si>
  <si>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</si>
  <si>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</si>
  <si>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</si>
  <si>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</si>
  <si>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по протоколу</t>
  </si>
  <si>
    <t>22 Р</t>
  </si>
  <si>
    <t>23 Р</t>
  </si>
  <si>
    <t>Итого:</t>
  </si>
  <si>
    <t xml:space="preserve">52.23.11.19.10.00.00 </t>
  </si>
  <si>
    <t>Доступ к системе регистрации пассажиров MUSE at ICN Airport</t>
  </si>
  <si>
    <t>Президент   АО "Эйр Астана"                                                П. Фостер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</si>
  <si>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</si>
  <si>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</si>
  <si>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</si>
  <si>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</si>
  <si>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</si>
  <si>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</si>
  <si>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</si>
  <si>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</si>
  <si>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</si>
  <si>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</si>
  <si>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</si>
  <si>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</si>
  <si>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</si>
  <si>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</si>
  <si>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</si>
  <si>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</si>
  <si>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</si>
  <si>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</si>
  <si>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</si>
  <si>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</si>
  <si>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</si>
  <si>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</si>
  <si>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</si>
  <si>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</si>
  <si>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</si>
  <si>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</si>
  <si>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</si>
  <si>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</si>
  <si>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</si>
  <si>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</si>
  <si>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</si>
  <si>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</si>
  <si>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</si>
  <si>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</si>
  <si>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</si>
  <si>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</si>
  <si>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</si>
  <si>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85.53.12.10.00.00.00</t>
  </si>
  <si>
    <t>Услуги школ подготовки летного персонала</t>
  </si>
  <si>
    <t>64.19.14.50.30.00.00</t>
  </si>
  <si>
    <t>Услуги по ведению системы реестров держателей ценных бумаг</t>
  </si>
  <si>
    <t>52.23.19.50.20.10.00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</si>
  <si>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</si>
  <si>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</si>
  <si>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Реквизиты   ( приказа и дата утверждения плана закупок) _№162-П от 10 апреля 2014 г_____</t>
  </si>
  <si>
    <t>210 У</t>
  </si>
  <si>
    <t>Услуги фиксированной местной, междугородней, международной телефонной связи  - доступ и пользование</t>
  </si>
  <si>
    <t>Услуги телефонии, поьлзование Business Trunk</t>
  </si>
  <si>
    <t>Апрель</t>
  </si>
  <si>
    <t>100% по фату оказания услуг</t>
  </si>
  <si>
    <t>Конструкция для дополнения кресел воздушного судна</t>
  </si>
  <si>
    <t>Встроенные воздушные подушки, с электронным контролем распределения воздушного потока и устанавливаемые под обивочной тканью на спинке и сидении кресла</t>
  </si>
  <si>
    <t>Ковер текстильный тканый</t>
  </si>
  <si>
    <t>Ворсовые тканые ковры, машинного производства из прочих материалов, в том числе из смешанных волокон. Ковры «вильтон». Имеют прочную тяжелую грунтовую ткань, покрытую ворсом. Прочих размеров</t>
  </si>
  <si>
    <t>Трудоемкое текущее обслуживание воздушного судна (C-check, замена шасси, замена двигателя, фюзеляжные работы и др.)</t>
  </si>
  <si>
    <t>211 У</t>
  </si>
  <si>
    <t>Услуги по технической поддержки системы MicroStrategy</t>
  </si>
  <si>
    <t>ежегодная 100% предоплата</t>
  </si>
  <si>
    <t>исключена</t>
  </si>
  <si>
    <t>94.11.10.13.00.00.00</t>
  </si>
  <si>
    <t>Услуги по распространению информации</t>
  </si>
  <si>
    <t>Услуги по размещению информации о стоимости провозки багажа за каждого пассажира</t>
  </si>
  <si>
    <t>Услуги по предоставлению хостинга</t>
  </si>
  <si>
    <t>212 У</t>
  </si>
  <si>
    <t>213 У</t>
  </si>
  <si>
    <t>214 У</t>
  </si>
  <si>
    <t>Аренда офисных  помеще ний в г. Астана</t>
  </si>
  <si>
    <t>215 У</t>
  </si>
  <si>
    <t>216 У</t>
  </si>
  <si>
    <t>Услуги по обеспечению питанием пассажиров и экипажа  на борту для обеспечения рейсов из аэропорта г. Пекин</t>
  </si>
  <si>
    <t>Услуги по обеспечению питанием пассажиров и экипажа  на борту для обеспечения рейсов из аэропорта г. Гонконг</t>
  </si>
  <si>
    <t>Май</t>
  </si>
  <si>
    <t>Китай, г. Пекин</t>
  </si>
  <si>
    <t>Китай, г. Гонконг</t>
  </si>
  <si>
    <t>217 У</t>
  </si>
  <si>
    <t>Услуги по использованию платформы CUTE для регистрации пассажиров</t>
  </si>
  <si>
    <t>Китай, г. Урумчи</t>
  </si>
  <si>
    <t>июнь</t>
  </si>
  <si>
    <t>июль</t>
  </si>
  <si>
    <t>август</t>
  </si>
  <si>
    <t>сентябрь</t>
  </si>
  <si>
    <t>ноябрь-декабрь</t>
  </si>
  <si>
    <t>декабрь</t>
  </si>
  <si>
    <t>ноябрь</t>
  </si>
  <si>
    <t>май</t>
  </si>
  <si>
    <t xml:space="preserve">июнь </t>
  </si>
  <si>
    <t xml:space="preserve">июль </t>
  </si>
  <si>
    <t xml:space="preserve">ноябрь </t>
  </si>
  <si>
    <t xml:space="preserve">сентябрь </t>
  </si>
  <si>
    <t>Октябрь</t>
  </si>
  <si>
    <t xml:space="preserve">Сентябрь </t>
  </si>
  <si>
    <t xml:space="preserve">ноябрь-декабрь </t>
  </si>
  <si>
    <t xml:space="preserve">Январь </t>
  </si>
  <si>
    <t xml:space="preserve">январь-февраль </t>
  </si>
  <si>
    <t xml:space="preserve">сентябрь-октябрь </t>
  </si>
  <si>
    <t xml:space="preserve">декабрь </t>
  </si>
  <si>
    <t xml:space="preserve">апрель-май </t>
  </si>
  <si>
    <t>Август</t>
  </si>
  <si>
    <t xml:space="preserve">Февраль </t>
  </si>
  <si>
    <t xml:space="preserve">Апрель </t>
  </si>
  <si>
    <t xml:space="preserve">Июль </t>
  </si>
  <si>
    <t xml:space="preserve">Июнь </t>
  </si>
  <si>
    <t xml:space="preserve">Октябрь </t>
  </si>
  <si>
    <t xml:space="preserve">январь- апрель </t>
  </si>
  <si>
    <t xml:space="preserve">май -июнь </t>
  </si>
  <si>
    <t xml:space="preserve">февраль </t>
  </si>
  <si>
    <t xml:space="preserve">июнь-июль </t>
  </si>
  <si>
    <t xml:space="preserve">Апрель-Май </t>
  </si>
  <si>
    <t xml:space="preserve">Май  </t>
  </si>
  <si>
    <t xml:space="preserve">август </t>
  </si>
  <si>
    <t>Сентябрь</t>
  </si>
  <si>
    <t xml:space="preserve">Ноябрь </t>
  </si>
  <si>
    <t>Ноябрь</t>
  </si>
  <si>
    <t xml:space="preserve">Июнь- Июль </t>
  </si>
  <si>
    <t xml:space="preserve">февраль-март </t>
  </si>
  <si>
    <t xml:space="preserve">Май </t>
  </si>
  <si>
    <t xml:space="preserve">июль- агуст  </t>
  </si>
  <si>
    <t xml:space="preserve">июль-агуст </t>
  </si>
  <si>
    <t xml:space="preserve">январь </t>
  </si>
  <si>
    <t xml:space="preserve">январь- февраль </t>
  </si>
  <si>
    <t xml:space="preserve">ноябрь- декабрь </t>
  </si>
  <si>
    <t xml:space="preserve">сентябрь- октябрь </t>
  </si>
  <si>
    <t xml:space="preserve">февраль- март </t>
  </si>
  <si>
    <t xml:space="preserve">декабрь  </t>
  </si>
  <si>
    <t xml:space="preserve">декабрь . </t>
  </si>
  <si>
    <t xml:space="preserve">март- апрель </t>
  </si>
  <si>
    <t xml:space="preserve">Декабрь - Январь </t>
  </si>
  <si>
    <t xml:space="preserve">март-апрель </t>
  </si>
  <si>
    <t xml:space="preserve">апрель </t>
  </si>
  <si>
    <t xml:space="preserve"> Март-апрель </t>
  </si>
  <si>
    <t xml:space="preserve">март </t>
  </si>
  <si>
    <t xml:space="preserve">Декабрь-Январь </t>
  </si>
  <si>
    <t xml:space="preserve">Декабрь- Январь </t>
  </si>
  <si>
    <t xml:space="preserve">Февраль - март </t>
  </si>
  <si>
    <t>Услуги по технической поддержке информационной системы Q-Pulse</t>
  </si>
  <si>
    <t>218 У</t>
  </si>
  <si>
    <t>г. Алматы, ул.Закарпатская 4А</t>
  </si>
  <si>
    <t>219 У</t>
  </si>
  <si>
    <t>АО Эйр Астана</t>
  </si>
  <si>
    <t>Нидерланды, г. Амстердам</t>
  </si>
  <si>
    <t>Услуги по передаче данных и доступу к Интернету</t>
  </si>
  <si>
    <t>220 У</t>
  </si>
  <si>
    <t>Услуги по доступу к Интернету</t>
  </si>
  <si>
    <t>Услуги по доступу к Интернету широкополосному по сетям беспроводным</t>
  </si>
  <si>
    <t>221 У</t>
  </si>
  <si>
    <t xml:space="preserve">май-июнь </t>
  </si>
  <si>
    <t>Аэропорт г. Алматы</t>
  </si>
  <si>
    <t>Аэропорт г. Астана</t>
  </si>
  <si>
    <t>по факту</t>
  </si>
  <si>
    <t>32-1 У</t>
  </si>
  <si>
    <t>33-1 У</t>
  </si>
  <si>
    <t>уменьшена на 33-1 У, согласно договору</t>
  </si>
  <si>
    <t>уменьшена на 32-1 У, согласно договору</t>
  </si>
  <si>
    <t>222 У</t>
  </si>
  <si>
    <t>Аренда помещения для офиса продаж в г. Атырау</t>
  </si>
  <si>
    <t>100% авансовым платежом</t>
  </si>
  <si>
    <t>223 У</t>
  </si>
  <si>
    <t>Аренда помеще  ния в г. Астана (369,8 кв.м.)</t>
  </si>
  <si>
    <t>224 У</t>
  </si>
  <si>
    <t>Услуги телефонии в терминале аэропорта г.Алматы</t>
  </si>
  <si>
    <t>г. Алматы</t>
  </si>
  <si>
    <t>225 У</t>
  </si>
  <si>
    <t xml:space="preserve">услуг по внедрению и технической поддержке системы управления технической документацией </t>
  </si>
  <si>
    <t>предоплата 30% после заключения договора, 70 % оплата по факту оказания услуг. 100% ежеквартальная предоплата за техническую поддержку</t>
  </si>
  <si>
    <t>24 Р</t>
  </si>
  <si>
    <t xml:space="preserve">Выполнение технического обслуживания по форме C-Check воздушных судов типа  Embraer 190
</t>
  </si>
  <si>
    <t>Амман, Иордания</t>
  </si>
  <si>
    <t xml:space="preserve">50% предоплата; 50% по факту </t>
  </si>
  <si>
    <t>226 У</t>
  </si>
  <si>
    <t>Аренда офисных  помещений в г. Алматы (410 кв.м.)</t>
  </si>
  <si>
    <t>Май- Июнь</t>
  </si>
  <si>
    <t>25 Р</t>
  </si>
  <si>
    <t>26 Р</t>
  </si>
  <si>
    <t>Текущий ремонт двигателей типа RB 211, устанавливаемых на ВС Boeing 757</t>
  </si>
  <si>
    <t>Текущий ремонт двигателей типа RB 211, устанавливаемых на ВС Boeing 758</t>
  </si>
  <si>
    <t>Предоплата 80%, остаток 20% по факту</t>
  </si>
  <si>
    <t>27 Р</t>
  </si>
  <si>
    <t>28 Р</t>
  </si>
  <si>
    <t>22.11.99.50.10.10.00</t>
  </si>
  <si>
    <t>Работы по реставрации авиационных шин</t>
  </si>
  <si>
    <t xml:space="preserve">Работы по реставрации  шин воздушных судов типа Airbus A320/A321, Boeing 757-200/ 767-300; </t>
  </si>
  <si>
    <t>Работы по реставрации  шин воздушных судов типа Embraer E190</t>
  </si>
  <si>
    <t xml:space="preserve"> Страны ближнего и дальнего зарубежья.</t>
  </si>
  <si>
    <t>в течение 30 (тридцати) банковских дней после выполнения работ</t>
  </si>
  <si>
    <t>227 У</t>
  </si>
  <si>
    <t>78.10.11.11.10.20.00</t>
  </si>
  <si>
    <t>Услуги по подбору и оценке персонала</t>
  </si>
  <si>
    <t>Услуги агентств, владеющих собственной международной базой данных, по оценке, подбору и управлению квалифицированными опытными пилотами КВС, ВП, инструкторами-экзаменаторами, пилотами - инструкторами, линейными инструкторами с высоким международным рейтингом</t>
  </si>
  <si>
    <t>Ежемесячно, по предоплате: до 20 числа месяца, в котором услуги будут оказаны</t>
  </si>
  <si>
    <t>предоплата - 0%, 100% по факту</t>
  </si>
  <si>
    <t>227-1 У</t>
  </si>
  <si>
    <t>ЭОТТ</t>
  </si>
  <si>
    <t>228 У</t>
  </si>
  <si>
    <t>Аэропортовые услуги в международном аэропорту г.Сеул</t>
  </si>
  <si>
    <t>100% по факту</t>
  </si>
  <si>
    <t>229 У</t>
  </si>
  <si>
    <t>230 У</t>
  </si>
  <si>
    <t>231 У</t>
  </si>
  <si>
    <t>232 У</t>
  </si>
  <si>
    <t>233 У</t>
  </si>
  <si>
    <t>56.10.19.20.10.20.00</t>
  </si>
  <si>
    <t>Услуги по обеспечению питанием пассажиров с задержанных рейсов</t>
  </si>
  <si>
    <t>Услуги по обеспечению питанием пассажиров с задержанных рейсов в г. Санкт-Петербург</t>
  </si>
  <si>
    <t>Услуги по обеспечению питанием пассажиров с задержанных рейсов в г. Москва</t>
  </si>
  <si>
    <t>Услуги по обеспечению питанием пассажиров с задержанных рейсов в г. Стамбул</t>
  </si>
  <si>
    <t>Транспортные услуги в г. Урумчи</t>
  </si>
  <si>
    <t>Услуги по обеспечению питанием пассажиров с задержанных рейсов в г.Тбилиси</t>
  </si>
  <si>
    <t>Россия г.Санкт-Петербург</t>
  </si>
  <si>
    <t>Россия г.Москва</t>
  </si>
  <si>
    <t>Турция, г.Стамбул</t>
  </si>
  <si>
    <t>Китай, г.Урумчи</t>
  </si>
  <si>
    <t>Грузия, г. Тбилиси</t>
  </si>
  <si>
    <t>234 У</t>
  </si>
  <si>
    <t>235 У</t>
  </si>
  <si>
    <t>52.23.19.00.00.00.00</t>
  </si>
  <si>
    <t>Услуги по восстановлению и возмещению багажа</t>
  </si>
  <si>
    <t>Услуги по восстановлению и возмещению багажа в г. Стамбул</t>
  </si>
  <si>
    <t>Услуги по доставке багажа в г. Стамбул</t>
  </si>
  <si>
    <t>Услуги по использованию платформы для регистрации пассажиров</t>
  </si>
  <si>
    <t>236 У</t>
  </si>
  <si>
    <t>Июнь</t>
  </si>
  <si>
    <t>234-1 У</t>
  </si>
  <si>
    <t>237 У</t>
  </si>
  <si>
    <t>Аренда помещения для офиса продаж в г. Астана (126,2 кв.м.)</t>
  </si>
  <si>
    <t>ежеквартально авансовым платежом в течение 10 календарных дней</t>
  </si>
  <si>
    <t>26-1 Р</t>
  </si>
  <si>
    <t>уменьшена на 26-1 Р</t>
  </si>
  <si>
    <t>25.73.60.00.00.17.01.01.1</t>
  </si>
  <si>
    <t>Комплект инструментов</t>
  </si>
  <si>
    <t>комплект инструментов для ремонта и технического обслуживания воздушного судна</t>
  </si>
  <si>
    <t>69.10.19.10.00.00.00</t>
  </si>
  <si>
    <t>Услуги юридические</t>
  </si>
  <si>
    <t>Услуги юридические, связанные с подготовкой и оформлением документов</t>
  </si>
  <si>
    <t>Услуги по юридическому сопровождению сделок операционного лизинга на 2014-2016 гг.</t>
  </si>
  <si>
    <t>238 У</t>
  </si>
  <si>
    <t>239 У</t>
  </si>
  <si>
    <t>61.20.50.20.00.00.00</t>
  </si>
  <si>
    <t>Услуги облачного сервиса по предоставлению программного обеспечения для пользования</t>
  </si>
  <si>
    <t>Услуги по внедрению системы аукционного повышения класса обслуживания пассажиров</t>
  </si>
  <si>
    <t>240 У</t>
  </si>
  <si>
    <t>Услуги по грузообслуживанию воздушных судов в г.Дели</t>
  </si>
  <si>
    <t>г.Дели</t>
  </si>
  <si>
    <t>241 У</t>
  </si>
  <si>
    <t>242 У</t>
  </si>
  <si>
    <t>Услуги по операционному лизингу воздушного судна Airbus 321 (MSN1042)</t>
  </si>
  <si>
    <t>Услуги по операционному лизингу воздушного судна Airbus 321 (MSN1204)</t>
  </si>
  <si>
    <t xml:space="preserve">Республика Казахстан </t>
  </si>
  <si>
    <t>243 У</t>
  </si>
  <si>
    <t>Малайзия, г. Куала Лумпур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</si>
  <si>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</si>
  <si>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</si>
  <si>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</si>
  <si>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</si>
  <si>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</si>
  <si>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</si>
  <si>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</si>
  <si>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</si>
  <si>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</si>
  <si>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</si>
  <si>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</si>
  <si>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</si>
  <si>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</si>
  <si>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</si>
  <si>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</si>
  <si>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</si>
  <si>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</si>
  <si>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</si>
  <si>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</si>
  <si>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</si>
  <si>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</si>
  <si>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Гостиничные услуги в г. Алматы
(одноместный стандартный номер в пятизвездочной гостинице)</t>
  </si>
  <si>
    <t>Гостиничные услуги в г. Алматы
(двухместный/с раздельными кроватями  стандартный номер в пятизвездочной гостинице)</t>
  </si>
  <si>
    <t>Гостиничные услуги в г. Алматы
(одноместный стандартный номер в четырехзвездочной гостинице)</t>
  </si>
  <si>
    <t>Гостиничные услуги в г. Алматы
(двухместный/с раздельными кроватями  стандартный номер в четырехзвездочной гостинице)</t>
  </si>
  <si>
    <t>Гостиничные услуги в г. Алматы
(одноместный стандартный номер в трехзвездочной гостинице)</t>
  </si>
  <si>
    <t>Гостиничные услуги в г. Алматы
(двухместный/с раздельными кроватями  стандартный номер в трехзвездочной гостинице)</t>
  </si>
  <si>
    <t xml:space="preserve">Гостиничные услуги в г. Алматы
(двухместный стандартный номер  в гостиничном комплексе без звезд)
</t>
  </si>
  <si>
    <t xml:space="preserve">Гостиничные услуги в г. Астане
(улучшенный номер в пятизвездочной гостинице)
</t>
  </si>
  <si>
    <t xml:space="preserve">Гостиничные услуги в г. Астане
(одноместный стандартный номер в пятизвездочной гостинице)
</t>
  </si>
  <si>
    <t xml:space="preserve">Гостиничные услуги в г. Астане
(двухместный/с раздельными кроватями  стандартный номер в пятизвездочной гостинице)
</t>
  </si>
  <si>
    <t>Гостиничные услуги в г. Астане
(одноместный стандартный номер в четырехзвездочной гостинице)</t>
  </si>
  <si>
    <t>Гостиничные услуги в г. Астане
(двухместный/с раздельными кроватями  стандартный номер в четырехзвездочной гостинице)</t>
  </si>
  <si>
    <t>Гостиничные услуги в г. Астане
(одноместный стандартный номер в трехзвездочной гостинице)</t>
  </si>
  <si>
    <t>Гостиничные услуги в г. Астане
(двухместный/с раздельными кроватями  стандартный номер в трехзвездочной гостинице)</t>
  </si>
  <si>
    <t>49.39.12.10.00.00.00</t>
  </si>
  <si>
    <t>Услуги по перевозкам междугородные специальные пассажирские автобусами (автомобилями) между городом и аэропортом или вокзалом в другом населенном пункте, подчиняющиеся расписанию</t>
  </si>
  <si>
    <t>Перевозки междугородные специальные пассажирские автобусами (автомобилями) между городом и аэропортом или вокзалом в другом населенном пункте, подчиняющиеся расписанию</t>
  </si>
  <si>
    <t>79.90.20.10.00.00.00</t>
  </si>
  <si>
    <t xml:space="preserve"> Услуги туристические экскурсионные</t>
  </si>
  <si>
    <t>Экскурсионные туристические услуги</t>
  </si>
  <si>
    <t xml:space="preserve">Услуги по организации и проведению ознакомительных туров по городу Алматы и Алматинской области </t>
  </si>
  <si>
    <t xml:space="preserve">Услуги по организации и проведению ознакомительных туров в Акмолинской области  </t>
  </si>
  <si>
    <t xml:space="preserve">Гостиничные услуги в г. Алматы (улучшенный номер в пятизвездочной гостинице)
</t>
  </si>
  <si>
    <t xml:space="preserve">г. Алматы </t>
  </si>
  <si>
    <t xml:space="preserve">г. Астана </t>
  </si>
  <si>
    <t>июль- август</t>
  </si>
  <si>
    <t>265 У</t>
  </si>
  <si>
    <t>Транзит (пользование кабеля) электроэнергии аэропорта г. Усть-Каменогорск</t>
  </si>
  <si>
    <t>266 У</t>
  </si>
  <si>
    <t>Услуги по использованию платформы для регистрации пассажиров в г. Душанбе</t>
  </si>
  <si>
    <t>267 У</t>
  </si>
  <si>
    <t>61.10.43.01.01.00.00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</si>
  <si>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</si>
  <si>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 в г. Актау</t>
  </si>
  <si>
    <t>Аэропорт г.Актау</t>
  </si>
  <si>
    <t>ежемесячно 100% по факту</t>
  </si>
  <si>
    <t>268 У</t>
  </si>
  <si>
    <t>269 У</t>
  </si>
  <si>
    <t>96.09.19.90.50.00.00</t>
  </si>
  <si>
    <t>Услуга по обеспечению запчастями и ремонтными деталями воздушных судов</t>
  </si>
  <si>
    <t>Услуга по обеспечению  запчастями и ремонтными деталями воздушных судов</t>
  </si>
  <si>
    <t>Техническое обеспечение запчастями и поддержка ВС В 757 -767</t>
  </si>
  <si>
    <t>Техническое обеспечение запчастями и поддержка ВС А 320 -321</t>
  </si>
  <si>
    <t>Алматы, Страны Ближнего и Дальнего Зарубежья</t>
  </si>
  <si>
    <t xml:space="preserve">Услуги по аэропортовому обслуживанию ВС </t>
  </si>
  <si>
    <t>270 У</t>
  </si>
  <si>
    <t>Услуги телефонии в офисе ДАМУ</t>
  </si>
  <si>
    <t>август-сентябрь</t>
  </si>
  <si>
    <t>271 У</t>
  </si>
  <si>
    <t xml:space="preserve">Услуги по наземному обслуживанию ВС </t>
  </si>
  <si>
    <t>Шериязданова Айзада;  аналитик по закупкам, aizada.tunlikbayeva@airastana.com; 7(727)258-41-36 (вн. 4527)</t>
  </si>
  <si>
    <t>272 У</t>
  </si>
  <si>
    <t xml:space="preserve">Аэропортовые услуги в международном аэропорту г. Лондон </t>
  </si>
  <si>
    <t>273 У</t>
  </si>
  <si>
    <t>ОАЭ, Дубаи</t>
  </si>
  <si>
    <t>274 У</t>
  </si>
  <si>
    <t>Услуги по обеспечению питанием пассажиров и экипажа  на борту для обеспечения рейсов из аэропорта г. Дубаи</t>
  </si>
  <si>
    <t>275 У</t>
  </si>
  <si>
    <t>Услуги по обслуживанию пассажиров в бизнес-зале аэропорта в г.Дели</t>
  </si>
  <si>
    <t>276 У</t>
  </si>
  <si>
    <t>Услуги по обслуживанию пассажиров в бизнес-зале аэропорта в г.Лондон</t>
  </si>
  <si>
    <t>г. Лондон, Великобритания</t>
  </si>
  <si>
    <t>277 У</t>
  </si>
  <si>
    <t>Услуги по обслуживанию пассажиров в бизнес-зале аэропорта в г.Дубаи</t>
  </si>
  <si>
    <t>г. Дубаи, ОАЭ</t>
  </si>
  <si>
    <t>214-1 У</t>
  </si>
  <si>
    <t>Аренда офисных  помеще ний в г. Астана (308,05 кв.м)</t>
  </si>
  <si>
    <t>278 У</t>
  </si>
  <si>
    <t>279 У</t>
  </si>
  <si>
    <t>Услуги по обслуживанию пассажиров в бизнес-зале аэропорта в г.Абу-Даби</t>
  </si>
  <si>
    <t>г.Абу-Даби, ОАЭ</t>
  </si>
  <si>
    <t>280 У</t>
  </si>
  <si>
    <t>Аэропортовые услуги в международном аэропорту г. Дубаи</t>
  </si>
  <si>
    <t>г.Дубаи, ОАЭ</t>
  </si>
  <si>
    <t>281 У</t>
  </si>
  <si>
    <t>282 У</t>
  </si>
  <si>
    <t>237-1 У</t>
  </si>
  <si>
    <t xml:space="preserve">Услуги по техническому сопровождению электронной очереди Nomad </t>
  </si>
  <si>
    <t>г. Алматы, пр-т Аль-Фараби, 19, павильон 2Б, бизнес-центр «Нурлы Тау».</t>
  </si>
  <si>
    <t>г. Астана, мкр. Самал, 12. Бизнес-центр «Астана Тауэр»</t>
  </si>
  <si>
    <t>ежемесячно 100% по факту оказания услуг</t>
  </si>
  <si>
    <t>283 У</t>
  </si>
  <si>
    <t>284 У</t>
  </si>
  <si>
    <t>Услуги телефонии в терминале аэропорта г.Дели</t>
  </si>
  <si>
    <t>Индия, г.Дели</t>
  </si>
  <si>
    <t>285 У</t>
  </si>
  <si>
    <t>Услуги по наземному обслуживанию ВС в аэропорту Абу-Даби</t>
  </si>
  <si>
    <t>OAE, 
Абу-Даби</t>
  </si>
  <si>
    <t>октябрь- ноябрь</t>
  </si>
  <si>
    <t>286 У</t>
  </si>
  <si>
    <t>Услуги по обеспечению питанием пассажиров с задержанных рейсов в г. Дубаи</t>
  </si>
  <si>
    <t>287 У</t>
  </si>
  <si>
    <t>Услуги аэронавигационного обслуживания</t>
  </si>
  <si>
    <t>Услуги аэронавигации в зоне аэродрома; услуги аэронавигации верхнего воздушного пространства</t>
  </si>
  <si>
    <t>Услуги аэронавигации в зоне аэродрома; услуги аэронавигации верхнего воздушного пространства на территории Китай</t>
  </si>
  <si>
    <t>288 У</t>
  </si>
  <si>
    <t>Услуга для удобства пассажиров бизнес класса по прохождению досмотра без очереди</t>
  </si>
  <si>
    <t>289 У</t>
  </si>
  <si>
    <t>290 У</t>
  </si>
  <si>
    <t xml:space="preserve">Услуги гостиниц </t>
  </si>
  <si>
    <t>Одноместный стандартный номер в четырехзвездочной гостинице в г.Урумчи</t>
  </si>
  <si>
    <t>Двухместный стандартный номер в четырехзвездочной гостинице в г.Урумчи</t>
  </si>
  <si>
    <t>34-1 Т</t>
  </si>
  <si>
    <t>уменьшена на 34-1 Т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</si>
  <si>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</si>
  <si>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</si>
  <si>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</si>
  <si>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</si>
  <si>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</si>
  <si>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</si>
  <si>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</si>
  <si>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</si>
  <si>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</si>
  <si>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</si>
  <si>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</si>
  <si>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</si>
  <si>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</si>
  <si>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</si>
  <si>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и сопровождению 1С Предприятие</t>
  </si>
  <si>
    <t>февраль</t>
  </si>
  <si>
    <t>г.Москва</t>
  </si>
  <si>
    <t>Наземное обслуживание в международном аэропорту г. Омск</t>
  </si>
  <si>
    <t>г.Омск, Россия</t>
  </si>
  <si>
    <t>услуга</t>
  </si>
  <si>
    <t>Авиационная безопасность г.Гонконг</t>
  </si>
  <si>
    <t>г.Гонгконг, Китай</t>
  </si>
  <si>
    <t>Наземное обслуживание в международном аэропорту г. Актобе</t>
  </si>
  <si>
    <t>г.Актобе, Казахстан</t>
  </si>
  <si>
    <t>Услуги обслуживания пассажиров бизнес-класса в бизнес-зале аэропорта города Амстердам</t>
  </si>
  <si>
    <t>г.Амстердам, Нидеранды</t>
  </si>
  <si>
    <t>Уборка салонов воздушных судов  в г. Гонконг</t>
  </si>
  <si>
    <t>Наземное обслуживание в международном аэропорту г. Гонг Конг</t>
  </si>
  <si>
    <t>услуги по хранению, транспортировку груза в г. Амстердам</t>
  </si>
  <si>
    <t>Услуги обслуживания пассажиров бизнес-класса в бизнес-зале аэропорта города Дели</t>
  </si>
  <si>
    <t>г.Дели, Индия</t>
  </si>
  <si>
    <t>Наземное обслуживание в международном аэропорту г. Куала-Лумпур</t>
  </si>
  <si>
    <t>г.Куала-Лумпур, Малайзия</t>
  </si>
  <si>
    <t>Уборка салонов воздушных судов  в г. Амстердам</t>
  </si>
  <si>
    <t>302 У</t>
  </si>
  <si>
    <t>Текущий и капитальный ремонт двигателей типа RB 211, устанавливаемых на ВС Boeing 757</t>
  </si>
  <si>
    <t>303 У</t>
  </si>
  <si>
    <t>304 У</t>
  </si>
  <si>
    <t>Услуги по предоставлению доступа к сети Интернет</t>
  </si>
  <si>
    <t>Услуга телефонии (2 номера)</t>
  </si>
  <si>
    <t>100% ежемесячно по факту оказания услуг</t>
  </si>
  <si>
    <t>Услуги аэронавигации в зоне аэродрома; услуги аэронавигации верхнего воздушного пространства на территории Китая</t>
  </si>
  <si>
    <t>287-1 У</t>
  </si>
  <si>
    <t>305 У</t>
  </si>
  <si>
    <t>306 У</t>
  </si>
  <si>
    <t>Услуги по использованию и обслуживанию системы регистрации пассажиров</t>
  </si>
  <si>
    <t>Услуги по внедрению и технической поддержке "Системы управления безопасностью полетов и гарантии качества"</t>
  </si>
  <si>
    <t>307 У</t>
  </si>
  <si>
    <t>308 У</t>
  </si>
  <si>
    <t>Услуги наземного обслуживания в аэропорту г.Лондон</t>
  </si>
  <si>
    <t>Услуги наземного обслуживания в аэропорту г.Пекин</t>
  </si>
  <si>
    <t>309 У</t>
  </si>
  <si>
    <t>74.90.20.75.01.01.01</t>
  </si>
  <si>
    <t>Услуги по заправке техническими газами и жидкостями</t>
  </si>
  <si>
    <t>Заправка (закачка) технических газов и/или жидкостей</t>
  </si>
  <si>
    <t>Заправка (закачка) технических газов и/или жидкостей - Азот в г.Киев</t>
  </si>
  <si>
    <t>Украина, г. Киев</t>
  </si>
  <si>
    <t>310 У</t>
  </si>
  <si>
    <t>311 У</t>
  </si>
  <si>
    <t>Комплекс услуг по грузообслуживанию в области воздушного транспорта в аэропорту Борисполь</t>
  </si>
  <si>
    <t>Услуги по наземному обслуживанию ВС в аэропорту Борисполь</t>
  </si>
  <si>
    <t>312 У</t>
  </si>
  <si>
    <t>313 У</t>
  </si>
  <si>
    <t>314 У</t>
  </si>
  <si>
    <t xml:space="preserve">Авиационная безопасность </t>
  </si>
  <si>
    <t>Услуги наземного обслуживания в аэропорту г.Москва</t>
  </si>
  <si>
    <t>315 У</t>
  </si>
  <si>
    <t>Услуги обслуживания пассажиров бизнес-класса в бизнес-зале аэропорта города Москва</t>
  </si>
  <si>
    <t>316 У</t>
  </si>
  <si>
    <t>96.09.19.90.09.30.00</t>
  </si>
  <si>
    <t>Услуга пользования лифтом</t>
  </si>
  <si>
    <t>г.Усть-Каменогорск</t>
  </si>
  <si>
    <t>317 У</t>
  </si>
  <si>
    <t>Услуга пользования автолифтом в г.Усть-Каменогорск</t>
  </si>
  <si>
    <t>октябрь-ноябрь</t>
  </si>
  <si>
    <t>Услуги по проведению тренингов по курсу: "Instructor Training Workshop"</t>
  </si>
  <si>
    <t>318 У</t>
  </si>
  <si>
    <t>Услуги по аэропортовому обслуживанию в г.Хошимин</t>
  </si>
  <si>
    <t>Вьетнам, Хошимин</t>
  </si>
  <si>
    <t>319 У</t>
  </si>
  <si>
    <t>68.20.12.00.00.00.00</t>
  </si>
  <si>
    <t>Услуги по аренде помещения</t>
  </si>
  <si>
    <t xml:space="preserve">Аренда офисных, складских помещений в г. Астана </t>
  </si>
  <si>
    <t>100% предоплата ежемесячно до 10 числа оплачиваемого месяца</t>
  </si>
  <si>
    <t>320 У</t>
  </si>
  <si>
    <t>321 У</t>
  </si>
  <si>
    <t>Услуга телефонии (5 номеров)</t>
  </si>
  <si>
    <t>Услуги по предоставлению доступа к сети Интернет на скорости 10240 Кбит/с</t>
  </si>
  <si>
    <t>35 Т</t>
  </si>
  <si>
    <t>36 Т</t>
  </si>
  <si>
    <t>238-1 У</t>
  </si>
  <si>
    <t>Ноябрь-декабрь</t>
  </si>
  <si>
    <t>100% по факту оказания услуги по каждой сделке</t>
  </si>
  <si>
    <t>322 У</t>
  </si>
  <si>
    <t>Аренда помещений в г. Алматы</t>
  </si>
  <si>
    <t xml:space="preserve">ноябрь -декабрь </t>
  </si>
  <si>
    <t>100 %- по факту поставки товара в течении 30 дней</t>
  </si>
  <si>
    <t>метр квадратный</t>
  </si>
  <si>
    <t>Ковер, установленный на воздушных судах типа Boeing 767 и Boeing 757</t>
  </si>
  <si>
    <t>Ковер, установленный на воздушных судах типа Embraer 190 и Airbus 319/320</t>
  </si>
  <si>
    <t>323 У</t>
  </si>
  <si>
    <t>61.20.50.20.16.20.00</t>
  </si>
  <si>
    <t>Услуги по предоставлению облачного сервиса по созданию корпоративного портала</t>
  </si>
  <si>
    <t>Услуги по предоставлению облачного сервиса для хостинга сайта airastana.com с услугой технической поддержки на 2014-2017 гг.</t>
  </si>
  <si>
    <t>100% по факту предоставления лицензий электронно, техническая поддержка бесплатно</t>
  </si>
  <si>
    <t>ЭЦПП</t>
  </si>
  <si>
    <t>323-1 У</t>
  </si>
  <si>
    <t>324 У</t>
  </si>
  <si>
    <t>325 У</t>
  </si>
  <si>
    <t>92,63</t>
  </si>
  <si>
    <t>61.10.12.01.02.00.00</t>
  </si>
  <si>
    <t>Услуги телефонные фиксированные</t>
  </si>
  <si>
    <t>Услуги телефонные фиксированные с функцией передачи текстовых телефонных сообщений</t>
  </si>
  <si>
    <t>Услуги рассылки СМС и голосовых сообщений (Kcell, Active,Beeline, Tele2)</t>
  </si>
  <si>
    <t>326 У</t>
  </si>
  <si>
    <t>Услуги наземного обслуживания в аэропорту г.Самара</t>
  </si>
  <si>
    <t>г. Самара</t>
  </si>
  <si>
    <t>327 У</t>
  </si>
  <si>
    <t>328 У</t>
  </si>
  <si>
    <t>329 У</t>
  </si>
  <si>
    <t>330 У</t>
  </si>
  <si>
    <t>Услуга телефонии (2 номеров)</t>
  </si>
  <si>
    <t>Междугородняя и международная связь</t>
  </si>
  <si>
    <t>Услуги аэронавигации в зоне аэродрома; услуги аэронавигации верхнего воздушного пространства на территории Индии</t>
  </si>
  <si>
    <t>Индия, Дели</t>
  </si>
  <si>
    <t>331 У</t>
  </si>
  <si>
    <t>Услуги аэронавигации в зоне аэродрома; услуги аэронавигации верхнего воздушного пространства на территории Ирана</t>
  </si>
  <si>
    <t>Иран</t>
  </si>
  <si>
    <t>330-1 У</t>
  </si>
  <si>
    <t>уменьшена на 330-1 У</t>
  </si>
  <si>
    <t>332 У</t>
  </si>
  <si>
    <t>Услуги аэронавигации в зоне аэродрома; услуги аэронавигации верхнего воздушного пространства на территории ОАЭ</t>
  </si>
  <si>
    <t>ОАЭ, 
Абу Даби</t>
  </si>
  <si>
    <t>333 У</t>
  </si>
  <si>
    <t>Услуги по предоставлению аудиовизуальных произведений и фонограмм для индивидуальных проигрывателей бизнес класса, общих экранов эконом класса и для встроенной развлекательной  системы воздушных судов.</t>
  </si>
  <si>
    <t>Казахстан, г. Алматы</t>
  </si>
  <si>
    <t>334 У</t>
  </si>
  <si>
    <t>71.20.19.18.00.00.00</t>
  </si>
  <si>
    <t>Услуги по сертификации</t>
  </si>
  <si>
    <t>Услуги сертификации в соответствии с  обязательной сертификацией товаров, работ, услуг</t>
  </si>
  <si>
    <t xml:space="preserve">Услуги по сертификации ввозимой продукции </t>
  </si>
  <si>
    <t>335 У</t>
  </si>
  <si>
    <t xml:space="preserve">Услуги противообледенительной обработки воздушных судов в г.Франкфурт на 2014-2015 года. </t>
  </si>
  <si>
    <t>Франкфурт, Германия</t>
  </si>
  <si>
    <t>336 У</t>
  </si>
  <si>
    <t>ежемесячно, авансовым платежем, не позднее 25 числа месяца предшествующего отчетному</t>
  </si>
  <si>
    <t>Аренда помещений в г. Алматы площадью  не менее 310 кв.м. не более 330 кв.м.</t>
  </si>
  <si>
    <t>337 У</t>
  </si>
  <si>
    <t>Услуги международной телефонной связи</t>
  </si>
  <si>
    <t>338 У</t>
  </si>
  <si>
    <t>69.20.21.10.00.99.00</t>
  </si>
  <si>
    <t>Услуги по проверке счетов</t>
  </si>
  <si>
    <t>Услуги по проверке счетов (отчетов)</t>
  </si>
  <si>
    <t>Услуги по проверке расчета стоимости проданных авиабилетов</t>
  </si>
  <si>
    <t>339 У</t>
  </si>
  <si>
    <t>Аренда помещения для комнаты отдыха водителей в г. Актау площадью 10 кв.м.</t>
  </si>
  <si>
    <t>г. Актау</t>
  </si>
  <si>
    <t>100 % по факту ежемесячно до 5-го числа следующего за оплачиваемым месяцем</t>
  </si>
  <si>
    <t>340 У</t>
  </si>
  <si>
    <t>341 У</t>
  </si>
  <si>
    <t>52.10.19.22.10.00.00</t>
  </si>
  <si>
    <t>Услуги складов временного хранения</t>
  </si>
  <si>
    <t>52.10.19.22.15.00.00</t>
  </si>
  <si>
    <t>Услуги таможенного склада</t>
  </si>
  <si>
    <t>Услуги по хранению товаров и транспортных средств по процедуре "Таможенный склад"</t>
  </si>
  <si>
    <t>342 У</t>
  </si>
  <si>
    <t>343 У</t>
  </si>
  <si>
    <t>Услуги по проведению дистанционного обучения летного состава (e-learning)</t>
  </si>
  <si>
    <t xml:space="preserve">100% по факту, ежемесячно,в течение 10 дней с даты получения счета на оплату
</t>
  </si>
  <si>
    <t>Услуги обслуживания пассажиров бизнес-класса в бизнес-зале аэропорта города Хошимин</t>
  </si>
  <si>
    <t>322-1 У</t>
  </si>
  <si>
    <t>100% предоплата за 3 месяца вперед</t>
  </si>
  <si>
    <t xml:space="preserve">Аренда офисных, складских помещений в г. Алматы </t>
  </si>
  <si>
    <t>уменьшена на 322-1 У</t>
  </si>
  <si>
    <t>29 Р</t>
  </si>
  <si>
    <t>Капитальный ремонт лопаток двигателей типа V2500</t>
  </si>
  <si>
    <t>Германия</t>
  </si>
  <si>
    <t>оплата по факту</t>
  </si>
  <si>
    <t>Поквартально 100 % авансовым платежом, в течение 7 рабочих дней с момента получения счета на оплату</t>
  </si>
  <si>
    <t>344 У</t>
  </si>
  <si>
    <t>78.10.11.11.10.10.00</t>
  </si>
  <si>
    <t>Услуги по подбору персонала</t>
  </si>
  <si>
    <t>Услуги по поиску (подбору) персонала для компании на 2015-2017гг</t>
  </si>
  <si>
    <t xml:space="preserve">100% по факту, по заявке Заказчика, в течение 10 дней с даты получения счета на оплату
</t>
  </si>
  <si>
    <t>345 У</t>
  </si>
  <si>
    <t>Услуги по обработке противообледенительной жидкостью воздушных судов в г.Пекин</t>
  </si>
  <si>
    <t>346 У</t>
  </si>
  <si>
    <t>347 У</t>
  </si>
  <si>
    <t>Услуга для удобства пассажиров бизнес класса по прохождению досмотра без очереди в Бангкоке</t>
  </si>
  <si>
    <t>Тайланд, Бангкок</t>
  </si>
  <si>
    <t>348 У</t>
  </si>
  <si>
    <t>Услуги по операционному лизингу ВС Airbus A319 (MSN3614) на 2015-2018 гг.</t>
  </si>
  <si>
    <t>37 Т</t>
  </si>
  <si>
    <t>Расходные  материалы для оттоманок  BC типа Boeing 767-300</t>
  </si>
  <si>
    <t>100% по факту поставки товаров</t>
  </si>
  <si>
    <t>349 У</t>
  </si>
  <si>
    <t>Услуги по сканированию багажа в г.Лондон</t>
  </si>
  <si>
    <t>г.Лондон</t>
  </si>
  <si>
    <t>350 У</t>
  </si>
  <si>
    <t>Предполетный досмотр пассажиров, груза и почты в аэропорту Шереметьево</t>
  </si>
  <si>
    <t>351 У</t>
  </si>
  <si>
    <t>352 У</t>
  </si>
  <si>
    <t>353 У</t>
  </si>
  <si>
    <t>354 У</t>
  </si>
  <si>
    <t>355 У</t>
  </si>
  <si>
    <t>Услуги аэронавигации в зоне аэродрома; услуги аэронавигации верхнего воздушного пространства на территории Вьетнама</t>
  </si>
  <si>
    <t>2015-2017 ж.ж. «оқытуды  және стандарт бойынша ұшуды  жүргізу директоры» орнына қызметкер іздеу рекрутинг  агенттігінің қызметтері</t>
  </si>
  <si>
    <t>2015-2017 ж.ж. "Инженерлік- техникалық қамтамасыз ету менеджері" орнына қызметкер іздеу рекрутинг  агенттігінің қызметтері</t>
  </si>
  <si>
    <t>2015-2017 ж.ж. "самолеттің интерьері бойынша консультанты" орнына қызметкер іздеу рекрутинг  агенттігінің қызметтері</t>
  </si>
  <si>
    <t>2015-2017 ж.ж. "Қазақстан және    СНГ бойынша  менюді  әзірлеу және сапаны бақылау менеджері " орнына қызметкер іздеу рекрутинг  агенттігінің қызметтері</t>
  </si>
  <si>
    <t xml:space="preserve">
100% по факту, по заявке Заказчика, в течение 10 дней с даты получения счета на оплату
</t>
  </si>
  <si>
    <t>322-2 У</t>
  </si>
  <si>
    <t>2014-2015</t>
  </si>
  <si>
    <t xml:space="preserve">Аренда офисных помещений в г. Алматы </t>
  </si>
  <si>
    <t>356 У</t>
  </si>
  <si>
    <t>357 У</t>
  </si>
  <si>
    <t xml:space="preserve">Услуги по предоставлению обучения кадетов по летной эксплуатации воздушных судов  </t>
  </si>
  <si>
    <t>Северо-запад, Северо-Восток Европы</t>
  </si>
  <si>
    <t xml:space="preserve">Юго-запад, Юго-Восток Европы </t>
  </si>
  <si>
    <t>358 У</t>
  </si>
  <si>
    <t>359 У</t>
  </si>
  <si>
    <t>360 У</t>
  </si>
  <si>
    <t>361 У</t>
  </si>
  <si>
    <t>94.11.10.15.00.00.00</t>
  </si>
  <si>
    <t>Услуги связи с общественностью</t>
  </si>
  <si>
    <t>Услуги Центра информации для общественности в случае аварийной ситуации</t>
  </si>
  <si>
    <t>Услуги предоставления линий связи в Великобритании</t>
  </si>
  <si>
    <t>Услуги предоставления линий связи по странам (11 стран)</t>
  </si>
  <si>
    <t xml:space="preserve">Декабрь </t>
  </si>
  <si>
    <t>Услуга установки линий связи</t>
  </si>
  <si>
    <t>362 У</t>
  </si>
  <si>
    <t xml:space="preserve">Услуги по внедрению и технической поддержки системы Планирования </t>
  </si>
  <si>
    <t>363 У</t>
  </si>
  <si>
    <t>364 У</t>
  </si>
  <si>
    <t>365 У</t>
  </si>
  <si>
    <t>Бортовое питание пассажиров в г.Лондон</t>
  </si>
  <si>
    <t>Бортовое питание пассажиров в г.Банкок</t>
  </si>
  <si>
    <t>Бортовое питание пассажиров в г.Хошимин</t>
  </si>
  <si>
    <t>366 У</t>
  </si>
  <si>
    <t>367 У</t>
  </si>
  <si>
    <t>Услуги обслуживания пассажиров бизнес-класса в бизнес-зале аэропорта города Гонконг</t>
  </si>
  <si>
    <t>г. Уральск</t>
  </si>
  <si>
    <t>20% предоплата, 80% по факту оказания услу, по заявке Заказчика, в течение 10 (десяти) рабочих дней, с момента получения счета на оплату</t>
  </si>
  <si>
    <t>358-1 У</t>
  </si>
  <si>
    <t>359-1 У</t>
  </si>
  <si>
    <t>360-1 У</t>
  </si>
  <si>
    <t>361-1 У</t>
  </si>
  <si>
    <t>368 У</t>
  </si>
  <si>
    <t>Услуги по уборке салонов воздушных судов в г. Казнь</t>
  </si>
  <si>
    <t>г.Казань</t>
  </si>
  <si>
    <t>369 У</t>
  </si>
  <si>
    <t>370 У</t>
  </si>
  <si>
    <t>Транспортные услуги в г.Тбилиси</t>
  </si>
  <si>
    <t>г.Тбилиси</t>
  </si>
  <si>
    <t>Ежемесячная предоплата за услуги по внедрениию, ежемесячная предоплата за услуги технической поддержки</t>
  </si>
  <si>
    <t>371 У</t>
  </si>
  <si>
    <t>372 У</t>
  </si>
  <si>
    <t>Услуги по технической поддержки системы Cris</t>
  </si>
  <si>
    <t>100% предоплата ежеквартально</t>
  </si>
  <si>
    <t>Услуга по предоставлению доступа к сети SITA (Express IP)</t>
  </si>
  <si>
    <t>г. Париж, Республика Франция</t>
  </si>
  <si>
    <t>373 У</t>
  </si>
  <si>
    <t>80.10.19.14.00.00.00</t>
  </si>
  <si>
    <t>Услуги по обеспечению безопасности прочие</t>
  </si>
  <si>
    <t>Услуги по обеспечению безопасности багажа в г.Дели</t>
  </si>
  <si>
    <t>374 У</t>
  </si>
  <si>
    <t>Услуги по наземному обслуживанию ВС в аэропорту Жезказгана</t>
  </si>
  <si>
    <t>375 У</t>
  </si>
  <si>
    <t>Казахстан, Жезказган</t>
  </si>
  <si>
    <t>376 У</t>
  </si>
  <si>
    <t>Техническая поддержка расписания полетов и карты маршрутов на  французком языке</t>
  </si>
  <si>
    <t xml:space="preserve">ежемесячно 100% предоплата </t>
  </si>
  <si>
    <t>Услуги по наземному обслуживанию ВС в аэропорту Душанбе</t>
  </si>
  <si>
    <t>Таджикистан, г.Душанбе</t>
  </si>
  <si>
    <t>377 У</t>
  </si>
  <si>
    <t>Услуги по предоставлению веб-хостинга для корпоративного сайта airastana.com на 2015-2016 гг.</t>
  </si>
  <si>
    <t>378 У</t>
  </si>
  <si>
    <t>379 У</t>
  </si>
  <si>
    <t>Услуги по  наземному обслуживанию в г.Хошимин</t>
  </si>
  <si>
    <t>Алматы, Казахстан</t>
  </si>
  <si>
    <t>38 Т</t>
  </si>
  <si>
    <t>CIP</t>
  </si>
  <si>
    <t>380 У</t>
  </si>
  <si>
    <t>Услуги по обеспечению питанием пассажиров с задержанных рейсов в г.Омск</t>
  </si>
  <si>
    <t>Россия, Омск</t>
  </si>
  <si>
    <t>381 У</t>
  </si>
  <si>
    <t>382 У</t>
  </si>
  <si>
    <t>С изменениями и дополнениями от _22.01.2015_</t>
  </si>
  <si>
    <t>Изменения и дополнения размещены. 22.01.2015</t>
  </si>
  <si>
    <t>Услуги аэронавигации в зоне аэродрома; услуги аэронавигации верхнего воздушного пространства на территории Таджикистана</t>
  </si>
  <si>
    <t>Услуги аэронавигации в зоне аэродрома - Грузия</t>
  </si>
  <si>
    <t>Таджикистан</t>
  </si>
  <si>
    <t>Грузия</t>
  </si>
  <si>
    <t>383 У</t>
  </si>
  <si>
    <t>Услуги по наземному обслуживанию ВС в г. Казань</t>
  </si>
  <si>
    <t>Россия, 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</si>
</sst>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[$-419]mmmm\ yyyy;@"/>
    <numFmt numFmtId="167" formatCode="#,##0.0"/>
    <numFmt numFmtId="168" formatCode="[$-409]d\-mmm\-yy;@"/>
    <numFmt numFmtId="169" formatCode="#,##0.000"/>
    <numFmt numFmtId="170" formatCode="#,##0.00_р_.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10"/>
      <name val="Helv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indexed="63"/>
      <name val="Times New Roman"/>
      <family val="1"/>
    </font>
    <font>
      <b/>
      <sz val="14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0">
    <xf numFmtId="0" fontId="0" fillId="0" borderId="0"/>
    <xf numFmtId="0" fontId="1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0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12" borderId="0" applyNumberFormat="0" applyBorder="0" applyAlignment="0" applyProtection="0"/>
    <xf numFmtId="0" fontId="28" fillId="12" borderId="0" applyNumberFormat="0" applyBorder="0" applyAlignment="0" applyProtection="0"/>
    <xf numFmtId="0" fontId="3" fillId="9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10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7" borderId="1" applyNumberFormat="0" applyAlignment="0" applyProtection="0"/>
    <xf numFmtId="0" fontId="37" fillId="7" borderId="1" applyNumberFormat="0" applyAlignment="0" applyProtection="0"/>
    <xf numFmtId="0" fontId="5" fillId="20" borderId="8" applyNumberFormat="0" applyAlignment="0" applyProtection="0"/>
    <xf numFmtId="0" fontId="40" fillId="20" borderId="8" applyNumberFormat="0" applyAlignment="0" applyProtection="0"/>
    <xf numFmtId="0" fontId="6" fillId="20" borderId="1" applyNumberFormat="0" applyAlignment="0" applyProtection="0"/>
    <xf numFmtId="0" fontId="30" fillId="20" borderId="1" applyNumberFormat="0" applyAlignment="0" applyProtection="0"/>
    <xf numFmtId="0" fontId="7" fillId="0" borderId="3" applyNumberFormat="0" applyFill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35" fillId="0" borderId="4" applyNumberFormat="0" applyFill="0" applyAlignment="0" applyProtection="0"/>
    <xf numFmtId="0" fontId="9" fillId="0" borderId="5" applyNumberFormat="0" applyFill="0" applyAlignment="0" applyProtection="0"/>
    <xf numFmtId="0" fontId="3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42" fillId="0" borderId="9" applyNumberFormat="0" applyFill="0" applyAlignment="0" applyProtection="0"/>
    <xf numFmtId="0" fontId="11" fillId="21" borderId="2" applyNumberFormat="0" applyAlignment="0" applyProtection="0"/>
    <xf numFmtId="0" fontId="31" fillId="21" borderId="2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23" borderId="7" applyNumberFormat="0" applyFont="0" applyAlignment="0" applyProtection="0"/>
    <xf numFmtId="0" fontId="14" fillId="23" borderId="7" applyNumberFormat="0" applyFont="0" applyAlignment="0" applyProtection="0"/>
    <xf numFmtId="9" fontId="2" fillId="0" borderId="0" applyFont="0" applyFill="0" applyBorder="0" applyAlignment="0" applyProtection="0"/>
    <xf numFmtId="0" fontId="18" fillId="0" borderId="6" applyNumberFormat="0" applyFill="0" applyAlignment="0" applyProtection="0"/>
    <xf numFmtId="0" fontId="38" fillId="0" borderId="6" applyNumberFormat="0" applyFill="0" applyAlignment="0" applyProtection="0"/>
    <xf numFmtId="0" fontId="45" fillId="0" borderId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0" borderId="0"/>
    <xf numFmtId="0" fontId="51" fillId="0" borderId="0"/>
    <xf numFmtId="0" fontId="51" fillId="0" borderId="0"/>
    <xf numFmtId="0" fontId="55" fillId="0" borderId="0"/>
    <xf numFmtId="0" fontId="68" fillId="0" borderId="0"/>
    <xf numFmtId="43" fontId="55" fillId="0" borderId="0" applyFont="0" applyFill="0" applyBorder="0" applyAlignment="0" applyProtection="0"/>
    <xf numFmtId="0" fontId="69" fillId="0" borderId="0"/>
  </cellStyleXfs>
  <cellXfs count="479">
    <xf numFmtId="0" fontId="0" fillId="0" borderId="0" xfId="0"/>
    <xf numFmtId="0" fontId="1" fillId="0" borderId="0" xfId="1"/>
    <xf numFmtId="0" fontId="26" fillId="0" borderId="15" xfId="120" applyFont="1" applyBorder="1" applyAlignment="1">
      <alignment horizontal="center" vertical="top" wrapText="1"/>
    </xf>
    <xf numFmtId="0" fontId="24" fillId="0" borderId="16" xfId="120" applyFont="1" applyBorder="1" applyAlignment="1"/>
    <xf numFmtId="0" fontId="24" fillId="0" borderId="17" xfId="120" applyFont="1" applyBorder="1" applyAlignment="1"/>
    <xf numFmtId="0" fontId="24" fillId="0" borderId="18" xfId="120" applyFont="1" applyBorder="1" applyAlignment="1"/>
    <xf numFmtId="0" fontId="21" fillId="0" borderId="19" xfId="120" applyFont="1" applyBorder="1"/>
    <xf numFmtId="4" fontId="24" fillId="0" borderId="18" xfId="120" applyNumberFormat="1" applyFont="1" applyBorder="1" applyAlignment="1">
      <alignment vertical="center"/>
    </xf>
    <xf numFmtId="3" fontId="26" fillId="0" borderId="15" xfId="120" applyNumberFormat="1" applyFont="1" applyBorder="1" applyAlignment="1">
      <alignment horizontal="center" vertical="center" wrapText="1"/>
    </xf>
    <xf numFmtId="0" fontId="26" fillId="0" borderId="24" xfId="120" applyFont="1" applyBorder="1" applyAlignment="1">
      <alignment horizontal="center" vertical="top" wrapText="1"/>
    </xf>
    <xf numFmtId="0" fontId="26" fillId="0" borderId="25" xfId="120" applyFont="1" applyBorder="1" applyAlignment="1">
      <alignment horizontal="center" vertical="top" wrapText="1"/>
    </xf>
    <xf numFmtId="0" fontId="25" fillId="0" borderId="13" xfId="120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0" xfId="132" applyFont="1" applyFill="1" applyBorder="1" applyAlignment="1">
      <alignment horizontal="left" vertical="center" wrapText="1"/>
    </xf>
    <xf numFmtId="49" fontId="44" fillId="0" borderId="20" xfId="138" applyNumberFormat="1" applyFont="1" applyFill="1" applyBorder="1" applyAlignment="1">
      <alignment horizontal="left" vertical="center" wrapText="1"/>
    </xf>
    <xf numFmtId="0" fontId="44" fillId="0" borderId="20" xfId="1" applyFont="1" applyBorder="1" applyAlignment="1">
      <alignment horizontal="left" vertical="center" wrapText="1"/>
    </xf>
    <xf numFmtId="4" fontId="21" fillId="0" borderId="20" xfId="120" applyNumberFormat="1" applyFont="1" applyFill="1" applyBorder="1" applyAlignment="1">
      <alignment horizontal="left" vertical="center" wrapText="1"/>
    </xf>
    <xf numFmtId="1" fontId="21" fillId="0" borderId="20" xfId="120" applyNumberFormat="1" applyFont="1" applyFill="1" applyBorder="1" applyAlignment="1">
      <alignment horizontal="left" vertical="center" wrapText="1"/>
    </xf>
    <xf numFmtId="0" fontId="21" fillId="0" borderId="20" xfId="120" applyFont="1" applyFill="1" applyBorder="1" applyAlignment="1">
      <alignment horizontal="left" vertical="center" wrapText="1"/>
    </xf>
    <xf numFmtId="0" fontId="21" fillId="0" borderId="20" xfId="1" applyFont="1" applyFill="1" applyBorder="1" applyAlignment="1">
      <alignment horizontal="left" vertical="center" wrapText="1"/>
    </xf>
    <xf numFmtId="0" fontId="44" fillId="0" borderId="20" xfId="1" applyFont="1" applyFill="1" applyBorder="1" applyAlignment="1">
      <alignment horizontal="left" vertical="center" wrapText="1"/>
    </xf>
    <xf numFmtId="17" fontId="44" fillId="0" borderId="20" xfId="1" applyNumberFormat="1" applyFont="1" applyFill="1" applyBorder="1" applyAlignment="1">
      <alignment horizontal="left" vertical="center" wrapText="1"/>
    </xf>
    <xf numFmtId="49" fontId="44" fillId="0" borderId="20" xfId="139" applyNumberFormat="1" applyFont="1" applyFill="1" applyBorder="1" applyAlignment="1">
      <alignment horizontal="left" vertical="center" wrapText="1"/>
    </xf>
    <xf numFmtId="0" fontId="44" fillId="0" borderId="20" xfId="142" applyFont="1" applyFill="1" applyBorder="1" applyAlignment="1">
      <alignment horizontal="left" vertical="center" wrapText="1"/>
    </xf>
    <xf numFmtId="0" fontId="44" fillId="0" borderId="20" xfId="77" applyFont="1" applyFill="1" applyBorder="1" applyAlignment="1">
      <alignment horizontal="left" vertical="center" wrapText="1"/>
    </xf>
    <xf numFmtId="4" fontId="44" fillId="0" borderId="20" xfId="1" applyNumberFormat="1" applyFont="1" applyBorder="1" applyAlignment="1">
      <alignment horizontal="left" vertical="center" wrapText="1"/>
    </xf>
    <xf numFmtId="4" fontId="21" fillId="0" borderId="20" xfId="1" applyNumberFormat="1" applyFont="1" applyBorder="1" applyAlignment="1">
      <alignment horizontal="left" vertical="center" wrapText="1"/>
    </xf>
    <xf numFmtId="4" fontId="44" fillId="0" borderId="20" xfId="1" applyNumberFormat="1" applyFont="1" applyFill="1" applyBorder="1" applyAlignment="1">
      <alignment horizontal="left" vertical="center" wrapText="1"/>
    </xf>
    <xf numFmtId="4" fontId="21" fillId="0" borderId="20" xfId="1" applyNumberFormat="1" applyFont="1" applyFill="1" applyBorder="1" applyAlignment="1">
      <alignment horizontal="left" vertical="center" wrapText="1"/>
    </xf>
    <xf numFmtId="0" fontId="21" fillId="0" borderId="19" xfId="120" applyFont="1" applyFill="1" applyBorder="1" applyAlignment="1">
      <alignment horizontal="left" vertical="center" wrapText="1"/>
    </xf>
    <xf numFmtId="0" fontId="44" fillId="0" borderId="19" xfId="77" applyFont="1" applyFill="1" applyBorder="1" applyAlignment="1">
      <alignment horizontal="left" vertical="center" wrapText="1"/>
    </xf>
    <xf numFmtId="0" fontId="44" fillId="0" borderId="19" xfId="132" applyFont="1" applyFill="1" applyBorder="1" applyAlignment="1">
      <alignment horizontal="left" vertical="center" wrapText="1"/>
    </xf>
    <xf numFmtId="4" fontId="44" fillId="0" borderId="20" xfId="156" applyNumberFormat="1" applyFont="1" applyFill="1" applyBorder="1" applyAlignment="1">
      <alignment horizontal="left" vertical="center" wrapText="1"/>
    </xf>
    <xf numFmtId="0" fontId="21" fillId="0" borderId="23" xfId="1" applyFont="1" applyFill="1" applyBorder="1" applyAlignment="1">
      <alignment horizontal="left" vertical="center" wrapText="1"/>
    </xf>
    <xf numFmtId="0" fontId="21" fillId="24" borderId="20" xfId="143" applyFont="1" applyFill="1" applyBorder="1" applyAlignment="1">
      <alignment horizontal="left" vertical="center" wrapText="1"/>
    </xf>
    <xf numFmtId="0" fontId="21" fillId="0" borderId="19" xfId="1" applyFont="1" applyFill="1" applyBorder="1" applyAlignment="1">
      <alignment horizontal="left" vertical="center" wrapText="1"/>
    </xf>
    <xf numFmtId="0" fontId="21" fillId="0" borderId="23" xfId="1" applyFont="1" applyBorder="1" applyAlignment="1">
      <alignment horizontal="left" vertical="center" wrapText="1"/>
    </xf>
    <xf numFmtId="0" fontId="21" fillId="0" borderId="22" xfId="1" applyFont="1" applyFill="1" applyBorder="1" applyAlignment="1">
      <alignment horizontal="left" vertical="center" wrapText="1"/>
    </xf>
    <xf numFmtId="0" fontId="21" fillId="24" borderId="23" xfId="143" applyFont="1" applyFill="1" applyBorder="1" applyAlignment="1">
      <alignment horizontal="left" vertical="center" wrapText="1"/>
    </xf>
    <xf numFmtId="49" fontId="21" fillId="0" borderId="16" xfId="120" applyNumberFormat="1" applyFont="1" applyFill="1" applyBorder="1" applyAlignment="1">
      <alignment horizontal="left" vertical="center" wrapText="1"/>
    </xf>
    <xf numFmtId="0" fontId="21" fillId="0" borderId="22" xfId="120" applyFont="1" applyFill="1" applyBorder="1" applyAlignment="1">
      <alignment horizontal="left" vertical="center" wrapText="1"/>
    </xf>
    <xf numFmtId="4" fontId="21" fillId="0" borderId="20" xfId="78" applyNumberFormat="1" applyFont="1" applyBorder="1" applyAlignment="1">
      <alignment horizontal="left" vertical="center" wrapText="1"/>
    </xf>
    <xf numFmtId="0" fontId="21" fillId="0" borderId="23" xfId="120" applyFont="1" applyFill="1" applyBorder="1" applyAlignment="1">
      <alignment horizontal="left" vertical="center" wrapText="1"/>
    </xf>
    <xf numFmtId="4" fontId="21" fillId="0" borderId="19" xfId="120" applyNumberFormat="1" applyFont="1" applyFill="1" applyBorder="1" applyAlignment="1">
      <alignment horizontal="left" vertical="center" wrapText="1"/>
    </xf>
    <xf numFmtId="3" fontId="21" fillId="0" borderId="20" xfId="78" applyNumberFormat="1" applyFont="1" applyBorder="1" applyAlignment="1">
      <alignment horizontal="left" vertical="center" wrapText="1"/>
    </xf>
    <xf numFmtId="0" fontId="21" fillId="0" borderId="0" xfId="120" applyFont="1" applyFill="1" applyBorder="1"/>
    <xf numFmtId="0" fontId="17" fillId="0" borderId="0" xfId="118"/>
    <xf numFmtId="0" fontId="21" fillId="0" borderId="0" xfId="120" applyFont="1"/>
    <xf numFmtId="0" fontId="22" fillId="0" borderId="10" xfId="120" applyFont="1" applyBorder="1" applyAlignment="1">
      <alignment horizontal="left"/>
    </xf>
    <xf numFmtId="0" fontId="23" fillId="0" borderId="11" xfId="120" applyFont="1" applyBorder="1" applyAlignment="1">
      <alignment horizontal="left"/>
    </xf>
    <xf numFmtId="0" fontId="23" fillId="0" borderId="12" xfId="120" applyFont="1" applyBorder="1" applyAlignment="1">
      <alignment horizontal="left"/>
    </xf>
    <xf numFmtId="0" fontId="21" fillId="0" borderId="0" xfId="120" applyFont="1" applyBorder="1" applyAlignment="1"/>
    <xf numFmtId="0" fontId="24" fillId="0" borderId="0" xfId="120" applyFont="1" applyBorder="1" applyAlignment="1"/>
    <xf numFmtId="0" fontId="26" fillId="0" borderId="14" xfId="120" applyFont="1" applyBorder="1" applyAlignment="1">
      <alignment horizontal="center" vertical="top" wrapText="1"/>
    </xf>
    <xf numFmtId="0" fontId="24" fillId="0" borderId="17" xfId="120" applyFont="1" applyBorder="1" applyAlignment="1"/>
    <xf numFmtId="0" fontId="21" fillId="0" borderId="20" xfId="120" applyFont="1" applyFill="1" applyBorder="1" applyAlignment="1">
      <alignment horizontal="left" vertical="center" wrapText="1"/>
    </xf>
    <xf numFmtId="4" fontId="21" fillId="0" borderId="0" xfId="120" applyNumberFormat="1" applyFont="1" applyAlignment="1">
      <alignment vertical="center"/>
    </xf>
    <xf numFmtId="0" fontId="24" fillId="0" borderId="0" xfId="120" applyFont="1" applyBorder="1" applyAlignment="1">
      <alignment horizontal="center"/>
    </xf>
    <xf numFmtId="0" fontId="21" fillId="0" borderId="0" xfId="77" applyFont="1" applyFill="1" applyAlignment="1">
      <alignment horizontal="left" vertical="center"/>
    </xf>
    <xf numFmtId="1" fontId="21" fillId="0" borderId="0" xfId="77" applyNumberFormat="1" applyFont="1" applyFill="1" applyAlignment="1">
      <alignment horizontal="left" vertical="center"/>
    </xf>
    <xf numFmtId="0" fontId="23" fillId="0" borderId="0" xfId="77" applyFont="1" applyFill="1" applyBorder="1" applyAlignment="1">
      <alignment horizontal="left" vertical="center"/>
    </xf>
    <xf numFmtId="0" fontId="21" fillId="0" borderId="0" xfId="120" applyFont="1" applyBorder="1"/>
    <xf numFmtId="14" fontId="21" fillId="0" borderId="0" xfId="118" applyNumberFormat="1" applyFont="1"/>
    <xf numFmtId="0" fontId="21" fillId="0" borderId="0" xfId="118" applyFont="1"/>
    <xf numFmtId="0" fontId="17" fillId="0" borderId="0" xfId="118" applyBorder="1"/>
    <xf numFmtId="0" fontId="23" fillId="0" borderId="24" xfId="120" applyFont="1" applyBorder="1" applyAlignment="1">
      <alignment horizontal="left"/>
    </xf>
    <xf numFmtId="0" fontId="23" fillId="0" borderId="25" xfId="120" applyFont="1" applyBorder="1" applyAlignment="1">
      <alignment horizontal="left"/>
    </xf>
    <xf numFmtId="0" fontId="23" fillId="0" borderId="28" xfId="77" applyFont="1" applyFill="1" applyBorder="1" applyAlignment="1">
      <alignment horizontal="left" vertical="center"/>
    </xf>
    <xf numFmtId="1" fontId="21" fillId="0" borderId="27" xfId="77" applyNumberFormat="1" applyFont="1" applyFill="1" applyBorder="1" applyAlignment="1">
      <alignment horizontal="left" vertical="center"/>
    </xf>
    <xf numFmtId="0" fontId="21" fillId="0" borderId="28" xfId="77" applyFont="1" applyFill="1" applyBorder="1" applyAlignment="1">
      <alignment horizontal="left" vertical="center"/>
    </xf>
    <xf numFmtId="0" fontId="21" fillId="0" borderId="0" xfId="77" applyFont="1" applyFill="1" applyBorder="1" applyAlignment="1">
      <alignment horizontal="left" vertical="center"/>
    </xf>
    <xf numFmtId="0" fontId="23" fillId="0" borderId="27" xfId="77" applyFont="1" applyFill="1" applyBorder="1" applyAlignment="1">
      <alignment horizontal="left" vertical="center"/>
    </xf>
    <xf numFmtId="0" fontId="24" fillId="0" borderId="0" xfId="120" applyFont="1" applyBorder="1" applyAlignment="1">
      <alignment horizontal="center"/>
    </xf>
    <xf numFmtId="0" fontId="21" fillId="25" borderId="0" xfId="0" applyFont="1" applyFill="1" applyBorder="1" applyAlignment="1">
      <alignment horizontal="left" vertical="center" wrapText="1"/>
    </xf>
    <xf numFmtId="0" fontId="21" fillId="25" borderId="0" xfId="12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horizontal="left" vertical="center" wrapText="1"/>
    </xf>
    <xf numFmtId="4" fontId="24" fillId="25" borderId="0" xfId="0" applyNumberFormat="1" applyFont="1" applyFill="1" applyBorder="1" applyAlignment="1">
      <alignment horizontal="left" vertical="center" wrapText="1"/>
    </xf>
    <xf numFmtId="4" fontId="24" fillId="25" borderId="0" xfId="120" applyNumberFormat="1" applyFont="1" applyFill="1" applyBorder="1" applyAlignment="1">
      <alignment horizontal="left" vertical="center" wrapText="1"/>
    </xf>
    <xf numFmtId="1" fontId="21" fillId="25" borderId="0" xfId="12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3" fontId="21" fillId="0" borderId="20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left" vertical="center" wrapText="1"/>
    </xf>
    <xf numFmtId="0" fontId="21" fillId="25" borderId="35" xfId="0" applyFont="1" applyFill="1" applyBorder="1" applyAlignment="1">
      <alignment horizontal="left" vertical="center" wrapText="1"/>
    </xf>
    <xf numFmtId="0" fontId="21" fillId="25" borderId="35" xfId="120" applyFont="1" applyFill="1" applyBorder="1" applyAlignment="1">
      <alignment horizontal="left" vertical="center" wrapText="1"/>
    </xf>
    <xf numFmtId="4" fontId="24" fillId="25" borderId="35" xfId="0" applyNumberFormat="1" applyFont="1" applyFill="1" applyBorder="1" applyAlignment="1">
      <alignment horizontal="left" vertical="center" wrapText="1"/>
    </xf>
    <xf numFmtId="0" fontId="21" fillId="0" borderId="35" xfId="0" applyFont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35" xfId="120" applyFont="1" applyFill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left" wrapText="1"/>
    </xf>
    <xf numFmtId="1" fontId="21" fillId="0" borderId="0" xfId="120" applyNumberFormat="1" applyFont="1" applyFill="1" applyBorder="1" applyAlignment="1">
      <alignment horizontal="left" vertical="center" wrapText="1"/>
    </xf>
    <xf numFmtId="49" fontId="44" fillId="0" borderId="23" xfId="143" applyNumberFormat="1" applyFont="1" applyFill="1" applyBorder="1" applyAlignment="1">
      <alignment horizontal="left" vertical="center" wrapText="1"/>
    </xf>
    <xf numFmtId="0" fontId="44" fillId="0" borderId="20" xfId="143" applyFont="1" applyFill="1" applyBorder="1" applyAlignment="1">
      <alignment horizontal="left" vertical="center" wrapText="1"/>
    </xf>
    <xf numFmtId="49" fontId="21" fillId="0" borderId="20" xfId="120" applyNumberFormat="1" applyFont="1" applyFill="1" applyBorder="1" applyAlignment="1">
      <alignment horizontal="left" vertical="center" wrapText="1"/>
    </xf>
    <xf numFmtId="0" fontId="44" fillId="0" borderId="22" xfId="132" applyFont="1" applyFill="1" applyBorder="1" applyAlignment="1">
      <alignment horizontal="left" vertical="center" wrapText="1"/>
    </xf>
    <xf numFmtId="0" fontId="44" fillId="0" borderId="20" xfId="137" applyFont="1" applyFill="1" applyBorder="1" applyAlignment="1">
      <alignment horizontal="left" vertical="center" wrapText="1"/>
    </xf>
    <xf numFmtId="0" fontId="50" fillId="0" borderId="20" xfId="0" applyFont="1" applyBorder="1" applyAlignment="1">
      <alignment wrapText="1"/>
    </xf>
    <xf numFmtId="0" fontId="21" fillId="0" borderId="22" xfId="0" applyFont="1" applyFill="1" applyBorder="1" applyAlignment="1">
      <alignment horizontal="left" vertical="center" wrapText="1"/>
    </xf>
    <xf numFmtId="0" fontId="44" fillId="24" borderId="23" xfId="164" applyNumberFormat="1" applyFont="1" applyFill="1" applyBorder="1" applyAlignment="1">
      <alignment horizontal="left" vertical="center" wrapText="1"/>
    </xf>
    <xf numFmtId="0" fontId="44" fillId="24" borderId="20" xfId="164" applyNumberFormat="1" applyFont="1" applyFill="1" applyBorder="1" applyAlignment="1">
      <alignment horizontal="left" vertical="center" wrapText="1"/>
    </xf>
    <xf numFmtId="0" fontId="21" fillId="0" borderId="20" xfId="0" applyNumberFormat="1" applyFont="1" applyBorder="1" applyAlignment="1">
      <alignment horizontal="left" vertical="center" wrapText="1"/>
    </xf>
    <xf numFmtId="168" fontId="21" fillId="0" borderId="20" xfId="0" applyNumberFormat="1" applyFont="1" applyFill="1" applyBorder="1" applyAlignment="1">
      <alignment horizontal="left" vertical="center" wrapText="1"/>
    </xf>
    <xf numFmtId="0" fontId="44" fillId="0" borderId="20" xfId="0" applyNumberFormat="1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52" fillId="0" borderId="0" xfId="0" applyFont="1"/>
    <xf numFmtId="49" fontId="21" fillId="0" borderId="23" xfId="1" applyNumberFormat="1" applyFont="1" applyFill="1" applyBorder="1" applyAlignment="1">
      <alignment horizontal="left" vertical="center" wrapText="1"/>
    </xf>
    <xf numFmtId="49" fontId="44" fillId="0" borderId="20" xfId="1" applyNumberFormat="1" applyFont="1" applyFill="1" applyBorder="1" applyAlignment="1">
      <alignment horizontal="justify" vertical="center" wrapText="1"/>
    </xf>
    <xf numFmtId="0" fontId="44" fillId="0" borderId="20" xfId="1" applyFont="1" applyFill="1" applyBorder="1" applyAlignment="1">
      <alignment horizontal="justify" vertical="center" wrapText="1"/>
    </xf>
    <xf numFmtId="49" fontId="21" fillId="0" borderId="26" xfId="1" applyNumberFormat="1" applyFont="1" applyFill="1" applyBorder="1" applyAlignment="1">
      <alignment horizontal="left" vertical="center" wrapText="1"/>
    </xf>
    <xf numFmtId="0" fontId="21" fillId="0" borderId="21" xfId="1" applyFont="1" applyFill="1" applyBorder="1" applyAlignment="1">
      <alignment horizontal="left" vertical="center" wrapText="1"/>
    </xf>
    <xf numFmtId="0" fontId="21" fillId="0" borderId="20" xfId="131" applyFont="1" applyFill="1" applyBorder="1" applyAlignment="1">
      <alignment horizontal="left" vertical="center" wrapText="1"/>
    </xf>
    <xf numFmtId="0" fontId="21" fillId="0" borderId="20" xfId="78" applyFont="1" applyFill="1" applyBorder="1" applyAlignment="1">
      <alignment horizontal="left" vertical="center" wrapText="1"/>
    </xf>
    <xf numFmtId="4" fontId="44" fillId="0" borderId="20" xfId="160" applyNumberFormat="1" applyFont="1" applyFill="1" applyBorder="1" applyAlignment="1">
      <alignment horizontal="left" vertical="center" wrapText="1"/>
    </xf>
    <xf numFmtId="3" fontId="21" fillId="0" borderId="20" xfId="78" applyNumberFormat="1" applyFont="1" applyFill="1" applyBorder="1" applyAlignment="1">
      <alignment horizontal="left" vertical="center" wrapText="1"/>
    </xf>
    <xf numFmtId="4" fontId="21" fillId="0" borderId="18" xfId="78" applyNumberFormat="1" applyFont="1" applyFill="1" applyBorder="1" applyAlignment="1">
      <alignment horizontal="left" vertical="center" wrapText="1"/>
    </xf>
    <xf numFmtId="4" fontId="44" fillId="0" borderId="19" xfId="1" applyNumberFormat="1" applyFont="1" applyFill="1" applyBorder="1" applyAlignment="1">
      <alignment horizontal="left" vertical="center" wrapText="1"/>
    </xf>
    <xf numFmtId="4" fontId="44" fillId="0" borderId="19" xfId="156" applyNumberFormat="1" applyFont="1" applyFill="1" applyBorder="1" applyAlignment="1">
      <alignment horizontal="left" vertical="center" wrapText="1"/>
    </xf>
    <xf numFmtId="4" fontId="44" fillId="0" borderId="16" xfId="156" applyNumberFormat="1" applyFont="1" applyFill="1" applyBorder="1" applyAlignment="1">
      <alignment horizontal="left" vertical="center" wrapText="1"/>
    </xf>
    <xf numFmtId="4" fontId="21" fillId="0" borderId="16" xfId="1" applyNumberFormat="1" applyFont="1" applyFill="1" applyBorder="1" applyAlignment="1">
      <alignment horizontal="left" vertical="center" wrapText="1"/>
    </xf>
    <xf numFmtId="0" fontId="21" fillId="0" borderId="20" xfId="132" applyFont="1" applyFill="1" applyBorder="1" applyAlignment="1">
      <alignment horizontal="left" vertical="center" wrapText="1"/>
    </xf>
    <xf numFmtId="1" fontId="21" fillId="0" borderId="20" xfId="160" applyNumberFormat="1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1" fillId="0" borderId="19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1" fontId="21" fillId="0" borderId="20" xfId="163" applyNumberFormat="1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/>
    </xf>
    <xf numFmtId="3" fontId="21" fillId="0" borderId="20" xfId="163" applyNumberFormat="1" applyFont="1" applyFill="1" applyBorder="1" applyAlignment="1">
      <alignment horizontal="left" vertical="center" wrapText="1"/>
    </xf>
    <xf numFmtId="1" fontId="53" fillId="0" borderId="20" xfId="0" applyNumberFormat="1" applyFont="1" applyFill="1" applyBorder="1" applyAlignment="1">
      <alignment horizontal="left" vertical="center" wrapText="1"/>
    </xf>
    <xf numFmtId="0" fontId="53" fillId="0" borderId="0" xfId="0" applyFont="1"/>
    <xf numFmtId="0" fontId="17" fillId="0" borderId="0" xfId="118" applyFont="1" applyBorder="1"/>
    <xf numFmtId="0" fontId="17" fillId="0" borderId="0" xfId="118" applyFont="1"/>
    <xf numFmtId="0" fontId="52" fillId="0" borderId="0" xfId="0" applyFont="1" applyFill="1"/>
    <xf numFmtId="4" fontId="21" fillId="0" borderId="20" xfId="160" applyNumberFormat="1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vertical="center" wrapText="1"/>
    </xf>
    <xf numFmtId="1" fontId="44" fillId="0" borderId="20" xfId="160" applyNumberFormat="1" applyFont="1" applyFill="1" applyBorder="1" applyAlignment="1">
      <alignment horizontal="left" vertical="center" wrapText="1"/>
    </xf>
    <xf numFmtId="4" fontId="21" fillId="0" borderId="20" xfId="156" applyNumberFormat="1" applyFont="1" applyFill="1" applyBorder="1" applyAlignment="1">
      <alignment horizontal="left" vertical="center" wrapText="1"/>
    </xf>
    <xf numFmtId="49" fontId="21" fillId="0" borderId="23" xfId="143" applyNumberFormat="1" applyFont="1" applyFill="1" applyBorder="1" applyAlignment="1">
      <alignment horizontal="left" vertical="center" wrapText="1"/>
    </xf>
    <xf numFmtId="0" fontId="21" fillId="0" borderId="20" xfId="143" applyFont="1" applyFill="1" applyBorder="1" applyAlignment="1">
      <alignment horizontal="left" vertical="center" wrapText="1"/>
    </xf>
    <xf numFmtId="49" fontId="21" fillId="0" borderId="20" xfId="143" applyNumberFormat="1" applyFont="1" applyFill="1" applyBorder="1" applyAlignment="1">
      <alignment horizontal="left" vertical="center" wrapText="1"/>
    </xf>
    <xf numFmtId="4" fontId="21" fillId="0" borderId="20" xfId="78" applyNumberFormat="1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vertical="center" wrapText="1"/>
    </xf>
    <xf numFmtId="1" fontId="48" fillId="0" borderId="20" xfId="0" applyNumberFormat="1" applyFont="1" applyFill="1" applyBorder="1" applyAlignment="1">
      <alignment horizontal="left" vertical="center" wrapText="1"/>
    </xf>
    <xf numFmtId="166" fontId="21" fillId="0" borderId="20" xfId="120" applyNumberFormat="1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49" fontId="21" fillId="0" borderId="20" xfId="78" applyNumberFormat="1" applyFont="1" applyFill="1" applyBorder="1" applyAlignment="1">
      <alignment horizontal="left" vertical="center" wrapText="1"/>
    </xf>
    <xf numFmtId="167" fontId="21" fillId="0" borderId="20" xfId="78" applyNumberFormat="1" applyFont="1" applyFill="1" applyBorder="1" applyAlignment="1">
      <alignment horizontal="left" vertical="center" wrapText="1"/>
    </xf>
    <xf numFmtId="49" fontId="21" fillId="0" borderId="20" xfId="143" applyNumberFormat="1" applyFont="1" applyFill="1" applyBorder="1" applyAlignment="1">
      <alignment vertical="center" wrapText="1"/>
    </xf>
    <xf numFmtId="0" fontId="44" fillId="0" borderId="20" xfId="143" applyFont="1" applyFill="1" applyBorder="1" applyAlignment="1">
      <alignment vertical="center" wrapText="1"/>
    </xf>
    <xf numFmtId="0" fontId="44" fillId="0" borderId="20" xfId="132" applyFont="1" applyFill="1" applyBorder="1" applyAlignment="1">
      <alignment vertical="center" wrapText="1"/>
    </xf>
    <xf numFmtId="166" fontId="48" fillId="0" borderId="23" xfId="0" applyNumberFormat="1" applyFont="1" applyFill="1" applyBorder="1" applyAlignment="1">
      <alignment horizontal="left" vertical="center" wrapText="1"/>
    </xf>
    <xf numFmtId="4" fontId="24" fillId="0" borderId="20" xfId="0" applyNumberFormat="1" applyFont="1" applyFill="1" applyBorder="1" applyAlignment="1">
      <alignment horizontal="left" vertical="center" wrapText="1"/>
    </xf>
    <xf numFmtId="4" fontId="21" fillId="0" borderId="21" xfId="78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4" fontId="21" fillId="0" borderId="20" xfId="158" applyNumberFormat="1" applyFont="1" applyFill="1" applyBorder="1" applyAlignment="1">
      <alignment horizontal="left" vertical="center" wrapText="1"/>
    </xf>
    <xf numFmtId="0" fontId="44" fillId="0" borderId="20" xfId="120" applyFont="1" applyFill="1" applyBorder="1" applyAlignment="1">
      <alignment horizontal="left" vertical="center" wrapText="1"/>
    </xf>
    <xf numFmtId="1" fontId="21" fillId="0" borderId="20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4" fillId="0" borderId="23" xfId="164" applyNumberFormat="1" applyFont="1" applyFill="1" applyBorder="1" applyAlignment="1">
      <alignment horizontal="left" vertical="center" wrapText="1"/>
    </xf>
    <xf numFmtId="0" fontId="44" fillId="0" borderId="20" xfId="164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49" fontId="21" fillId="0" borderId="20" xfId="163" applyNumberFormat="1" applyFont="1" applyFill="1" applyBorder="1" applyAlignment="1">
      <alignment horizontal="left" vertical="center" wrapText="1"/>
    </xf>
    <xf numFmtId="4" fontId="21" fillId="0" borderId="20" xfId="163" applyNumberFormat="1" applyFont="1" applyFill="1" applyBorder="1" applyAlignment="1">
      <alignment horizontal="left" vertical="center" wrapText="1"/>
    </xf>
    <xf numFmtId="4" fontId="44" fillId="0" borderId="20" xfId="158" applyNumberFormat="1" applyFont="1" applyFill="1" applyBorder="1" applyAlignment="1">
      <alignment horizontal="left" vertical="center" wrapText="1"/>
    </xf>
    <xf numFmtId="0" fontId="21" fillId="0" borderId="23" xfId="138" applyFont="1" applyFill="1" applyBorder="1" applyAlignment="1">
      <alignment vertical="center" wrapText="1"/>
    </xf>
    <xf numFmtId="166" fontId="21" fillId="0" borderId="20" xfId="0" applyNumberFormat="1" applyFont="1" applyFill="1" applyBorder="1" applyAlignment="1">
      <alignment horizontal="left" vertical="center" wrapText="1"/>
    </xf>
    <xf numFmtId="0" fontId="21" fillId="0" borderId="21" xfId="120" applyFont="1" applyFill="1" applyBorder="1" applyAlignment="1">
      <alignment horizontal="left" vertical="center" wrapText="1"/>
    </xf>
    <xf numFmtId="49" fontId="47" fillId="0" borderId="26" xfId="143" applyNumberFormat="1" applyFont="1" applyFill="1" applyBorder="1" applyAlignment="1">
      <alignment horizontal="left" vertical="center" wrapText="1"/>
    </xf>
    <xf numFmtId="0" fontId="47" fillId="0" borderId="21" xfId="143" applyFont="1" applyFill="1" applyBorder="1" applyAlignment="1">
      <alignment horizontal="left" vertical="center" wrapText="1"/>
    </xf>
    <xf numFmtId="1" fontId="46" fillId="0" borderId="21" xfId="0" applyNumberFormat="1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166" fontId="44" fillId="0" borderId="21" xfId="0" applyNumberFormat="1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4" fontId="44" fillId="0" borderId="21" xfId="0" applyNumberFormat="1" applyFont="1" applyFill="1" applyBorder="1" applyAlignment="1">
      <alignment horizontal="left" vertical="center" wrapText="1"/>
    </xf>
    <xf numFmtId="4" fontId="44" fillId="0" borderId="21" xfId="158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21" fillId="0" borderId="20" xfId="163" applyFont="1" applyFill="1" applyBorder="1" applyAlignment="1">
      <alignment horizontal="left" vertical="center" wrapText="1"/>
    </xf>
    <xf numFmtId="4" fontId="44" fillId="0" borderId="20" xfId="0" applyNumberFormat="1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4" fontId="21" fillId="0" borderId="19" xfId="158" applyNumberFormat="1" applyFont="1" applyFill="1" applyBorder="1" applyAlignment="1">
      <alignment horizontal="left" vertical="center" wrapText="1"/>
    </xf>
    <xf numFmtId="4" fontId="21" fillId="0" borderId="16" xfId="158" applyNumberFormat="1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>
      <alignment horizontal="left" vertical="center" wrapText="1"/>
    </xf>
    <xf numFmtId="17" fontId="21" fillId="0" borderId="20" xfId="78" applyNumberFormat="1" applyFont="1" applyFill="1" applyBorder="1" applyAlignment="1">
      <alignment horizontal="left" vertical="center" wrapText="1"/>
    </xf>
    <xf numFmtId="4" fontId="21" fillId="0" borderId="16" xfId="78" applyNumberFormat="1" applyFont="1" applyFill="1" applyBorder="1" applyAlignment="1">
      <alignment horizontal="left" vertical="center" wrapText="1"/>
    </xf>
    <xf numFmtId="4" fontId="21" fillId="0" borderId="20" xfId="143" applyNumberFormat="1" applyFont="1" applyFill="1" applyBorder="1" applyAlignment="1">
      <alignment horizontal="left" vertical="center" wrapText="1"/>
    </xf>
    <xf numFmtId="49" fontId="21" fillId="0" borderId="22" xfId="143" applyNumberFormat="1" applyFont="1" applyFill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left" vertical="center" wrapText="1"/>
    </xf>
    <xf numFmtId="0" fontId="21" fillId="0" borderId="20" xfId="78" applyFont="1" applyBorder="1" applyAlignment="1">
      <alignment horizontal="left" vertical="center"/>
    </xf>
    <xf numFmtId="0" fontId="44" fillId="24" borderId="20" xfId="0" applyFont="1" applyFill="1" applyBorder="1" applyAlignment="1">
      <alignment horizontal="left" vertical="center" wrapText="1"/>
    </xf>
    <xf numFmtId="17" fontId="21" fillId="0" borderId="20" xfId="78" applyNumberFormat="1" applyFont="1" applyBorder="1" applyAlignment="1">
      <alignment horizontal="left" vertical="center"/>
    </xf>
    <xf numFmtId="4" fontId="21" fillId="0" borderId="20" xfId="78" applyNumberFormat="1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3" fontId="21" fillId="0" borderId="20" xfId="1" applyNumberFormat="1" applyFont="1" applyFill="1" applyBorder="1" applyAlignment="1">
      <alignment horizontal="left" vertical="center" wrapText="1"/>
    </xf>
    <xf numFmtId="0" fontId="54" fillId="25" borderId="0" xfId="0" applyFont="1" applyFill="1" applyBorder="1" applyAlignment="1">
      <alignment horizontal="left" vertical="center"/>
    </xf>
    <xf numFmtId="4" fontId="52" fillId="0" borderId="0" xfId="0" applyNumberFormat="1" applyFont="1" applyFill="1"/>
    <xf numFmtId="4" fontId="53" fillId="0" borderId="20" xfId="0" applyNumberFormat="1" applyFont="1" applyFill="1" applyBorder="1" applyAlignment="1">
      <alignment horizontal="left" vertical="center"/>
    </xf>
    <xf numFmtId="4" fontId="52" fillId="0" borderId="20" xfId="0" applyNumberFormat="1" applyFont="1" applyFill="1" applyBorder="1" applyAlignment="1">
      <alignment wrapText="1"/>
    </xf>
    <xf numFmtId="4" fontId="48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49" fillId="0" borderId="20" xfId="0" applyFont="1" applyFill="1" applyBorder="1" applyAlignment="1">
      <alignment horizontal="left" vertical="center"/>
    </xf>
    <xf numFmtId="0" fontId="56" fillId="0" borderId="20" xfId="0" applyFont="1" applyFill="1" applyBorder="1" applyAlignment="1">
      <alignment horizontal="left" vertical="center"/>
    </xf>
    <xf numFmtId="0" fontId="56" fillId="0" borderId="20" xfId="120" applyFont="1" applyFill="1" applyBorder="1" applyAlignment="1">
      <alignment horizontal="left" vertical="center"/>
    </xf>
    <xf numFmtId="3" fontId="49" fillId="0" borderId="20" xfId="0" applyNumberFormat="1" applyFont="1" applyFill="1" applyBorder="1" applyAlignment="1">
      <alignment horizontal="left" vertical="center"/>
    </xf>
    <xf numFmtId="166" fontId="49" fillId="0" borderId="20" xfId="0" applyNumberFormat="1" applyFont="1" applyFill="1" applyBorder="1" applyAlignment="1">
      <alignment horizontal="left" vertical="center"/>
    </xf>
    <xf numFmtId="1" fontId="49" fillId="0" borderId="20" xfId="78" applyNumberFormat="1" applyFont="1" applyFill="1" applyBorder="1" applyAlignment="1">
      <alignment horizontal="left" vertical="center"/>
    </xf>
    <xf numFmtId="1" fontId="49" fillId="0" borderId="20" xfId="0" applyNumberFormat="1" applyFont="1" applyFill="1" applyBorder="1" applyAlignment="1">
      <alignment horizontal="left" vertical="center"/>
    </xf>
    <xf numFmtId="49" fontId="49" fillId="0" borderId="20" xfId="78" applyNumberFormat="1" applyFont="1" applyFill="1" applyBorder="1" applyAlignment="1">
      <alignment horizontal="left" vertical="center"/>
    </xf>
    <xf numFmtId="0" fontId="58" fillId="0" borderId="20" xfId="0" applyNumberFormat="1" applyFont="1" applyFill="1" applyBorder="1" applyAlignment="1" applyProtection="1">
      <alignment horizontal="left" vertical="center"/>
      <protection locked="0"/>
    </xf>
    <xf numFmtId="0" fontId="58" fillId="0" borderId="20" xfId="0" applyFont="1" applyFill="1" applyBorder="1" applyAlignment="1">
      <alignment horizontal="left" vertical="center"/>
    </xf>
    <xf numFmtId="166" fontId="58" fillId="0" borderId="20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 applyProtection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17" fontId="58" fillId="0" borderId="20" xfId="0" applyNumberFormat="1" applyFont="1" applyFill="1" applyBorder="1" applyAlignment="1" applyProtection="1">
      <alignment horizontal="left" vertical="center"/>
      <protection locked="0"/>
    </xf>
    <xf numFmtId="49" fontId="56" fillId="0" borderId="20" xfId="165" applyNumberFormat="1" applyFont="1" applyFill="1" applyBorder="1" applyAlignment="1">
      <alignment horizontal="left" vertical="center"/>
    </xf>
    <xf numFmtId="2" fontId="49" fillId="0" borderId="20" xfId="0" applyNumberFormat="1" applyFont="1" applyFill="1" applyBorder="1" applyAlignment="1">
      <alignment horizontal="left" vertical="center"/>
    </xf>
    <xf numFmtId="166" fontId="49" fillId="0" borderId="20" xfId="120" applyNumberFormat="1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/>
    </xf>
    <xf numFmtId="0" fontId="0" fillId="0" borderId="20" xfId="0" applyBorder="1" applyAlignment="1"/>
    <xf numFmtId="0" fontId="0" fillId="0" borderId="0" xfId="0" applyFill="1" applyAlignment="1"/>
    <xf numFmtId="0" fontId="24" fillId="26" borderId="20" xfId="0" applyFont="1" applyFill="1" applyBorder="1" applyAlignment="1">
      <alignment horizontal="left"/>
    </xf>
    <xf numFmtId="0" fontId="44" fillId="26" borderId="20" xfId="0" applyFont="1" applyFill="1" applyBorder="1" applyAlignment="1">
      <alignment horizontal="left" vertical="center" wrapText="1"/>
    </xf>
    <xf numFmtId="0" fontId="21" fillId="26" borderId="20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left" vertical="center" wrapText="1"/>
    </xf>
    <xf numFmtId="3" fontId="21" fillId="26" borderId="20" xfId="0" applyNumberFormat="1" applyFont="1" applyFill="1" applyBorder="1" applyAlignment="1">
      <alignment horizontal="left" vertical="center"/>
    </xf>
    <xf numFmtId="4" fontId="21" fillId="26" borderId="2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26" borderId="23" xfId="0" applyFont="1" applyFill="1" applyBorder="1" applyAlignment="1">
      <alignment horizontal="left" vertical="center"/>
    </xf>
    <xf numFmtId="0" fontId="17" fillId="0" borderId="0" xfId="118" applyFill="1"/>
    <xf numFmtId="0" fontId="21" fillId="0" borderId="0" xfId="120" applyFont="1" applyFill="1"/>
    <xf numFmtId="0" fontId="21" fillId="0" borderId="0" xfId="120" applyFont="1" applyFill="1" applyBorder="1" applyAlignment="1"/>
    <xf numFmtId="0" fontId="24" fillId="0" borderId="0" xfId="120" applyFont="1" applyFill="1" applyBorder="1" applyAlignment="1"/>
    <xf numFmtId="14" fontId="21" fillId="0" borderId="0" xfId="118" applyNumberFormat="1" applyFont="1" applyFill="1"/>
    <xf numFmtId="0" fontId="44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0" fontId="61" fillId="0" borderId="0" xfId="120" applyFont="1" applyBorder="1" applyAlignment="1"/>
    <xf numFmtId="0" fontId="23" fillId="0" borderId="0" xfId="120" applyFont="1"/>
    <xf numFmtId="0" fontId="23" fillId="0" borderId="0" xfId="120" applyFont="1" applyBorder="1"/>
    <xf numFmtId="0" fontId="22" fillId="0" borderId="0" xfId="120" applyFont="1"/>
    <xf numFmtId="0" fontId="22" fillId="0" borderId="0" xfId="120" applyFont="1" applyBorder="1" applyAlignment="1"/>
    <xf numFmtId="0" fontId="23" fillId="0" borderId="0" xfId="120" applyFont="1" applyBorder="1" applyAlignment="1">
      <alignment wrapText="1"/>
    </xf>
    <xf numFmtId="0" fontId="62" fillId="0" borderId="0" xfId="120" applyFont="1"/>
    <xf numFmtId="0" fontId="54" fillId="0" borderId="0" xfId="120" applyFont="1" applyBorder="1" applyAlignment="1"/>
    <xf numFmtId="0" fontId="63" fillId="0" borderId="0" xfId="120" applyFont="1" applyBorder="1" applyAlignment="1"/>
    <xf numFmtId="0" fontId="64" fillId="0" borderId="0" xfId="120" applyFont="1" applyAlignment="1">
      <alignment horizontal="center"/>
    </xf>
    <xf numFmtId="0" fontId="65" fillId="0" borderId="0" xfId="120" applyFont="1" applyAlignment="1">
      <alignment horizontal="left"/>
    </xf>
    <xf numFmtId="0" fontId="22" fillId="0" borderId="0" xfId="120" applyFont="1" applyAlignment="1">
      <alignment horizontal="left"/>
    </xf>
    <xf numFmtId="0" fontId="22" fillId="0" borderId="0" xfId="120" applyFont="1" applyAlignment="1"/>
    <xf numFmtId="0" fontId="22" fillId="0" borderId="0" xfId="120" applyFont="1" applyAlignment="1">
      <alignment wrapText="1"/>
    </xf>
    <xf numFmtId="0" fontId="54" fillId="0" borderId="0" xfId="120" applyFont="1" applyAlignment="1"/>
    <xf numFmtId="0" fontId="22" fillId="0" borderId="0" xfId="120" applyFont="1" applyBorder="1"/>
    <xf numFmtId="0" fontId="66" fillId="0" borderId="0" xfId="120" applyFont="1" applyBorder="1"/>
    <xf numFmtId="0" fontId="22" fillId="0" borderId="0" xfId="120" applyFont="1" applyFill="1" applyBorder="1" applyAlignment="1">
      <alignment horizontal="left"/>
    </xf>
    <xf numFmtId="0" fontId="22" fillId="0" borderId="0" xfId="120" applyFont="1" applyFill="1" applyBorder="1" applyAlignment="1">
      <alignment horizontal="left" wrapText="1"/>
    </xf>
    <xf numFmtId="0" fontId="22" fillId="0" borderId="0" xfId="120" applyFont="1" applyBorder="1" applyAlignment="1">
      <alignment horizontal="left"/>
    </xf>
    <xf numFmtId="49" fontId="22" fillId="0" borderId="0" xfId="120" applyNumberFormat="1" applyFont="1" applyBorder="1" applyAlignment="1"/>
    <xf numFmtId="0" fontId="22" fillId="0" borderId="0" xfId="120" applyFont="1" applyFill="1"/>
    <xf numFmtId="49" fontId="44" fillId="24" borderId="20" xfId="165" applyNumberFormat="1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3" fontId="44" fillId="24" borderId="20" xfId="165" applyNumberFormat="1" applyFont="1" applyFill="1" applyBorder="1" applyAlignment="1">
      <alignment horizontal="left" vertical="center" wrapText="1"/>
    </xf>
    <xf numFmtId="0" fontId="0" fillId="0" borderId="20" xfId="0" applyBorder="1"/>
    <xf numFmtId="0" fontId="49" fillId="0" borderId="20" xfId="0" applyFont="1" applyBorder="1" applyAlignment="1">
      <alignment horizontal="left" vertical="center" wrapText="1"/>
    </xf>
    <xf numFmtId="4" fontId="56" fillId="0" borderId="20" xfId="0" applyNumberFormat="1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1" fontId="49" fillId="0" borderId="19" xfId="0" applyNumberFormat="1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49" fontId="44" fillId="24" borderId="20" xfId="165" applyNumberFormat="1" applyFont="1" applyFill="1" applyBorder="1" applyAlignment="1">
      <alignment vertical="center" wrapText="1"/>
    </xf>
    <xf numFmtId="3" fontId="44" fillId="24" borderId="0" xfId="165" applyNumberFormat="1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0" xfId="0" applyFont="1" applyFill="1" applyBorder="1" applyAlignment="1" applyProtection="1">
      <alignment vertical="center" wrapText="1"/>
    </xf>
    <xf numFmtId="0" fontId="21" fillId="0" borderId="21" xfId="0" applyFont="1" applyBorder="1" applyAlignment="1">
      <alignment horizontal="left" vertical="center" wrapText="1"/>
    </xf>
    <xf numFmtId="49" fontId="44" fillId="24" borderId="21" xfId="165" applyNumberFormat="1" applyFont="1" applyFill="1" applyBorder="1" applyAlignment="1">
      <alignment horizontal="left" vertical="center" wrapText="1"/>
    </xf>
    <xf numFmtId="0" fontId="0" fillId="0" borderId="21" xfId="0" applyBorder="1"/>
    <xf numFmtId="3" fontId="44" fillId="24" borderId="21" xfId="165" applyNumberFormat="1" applyFont="1" applyFill="1" applyBorder="1" applyAlignment="1">
      <alignment horizontal="left" vertical="center" wrapText="1"/>
    </xf>
    <xf numFmtId="4" fontId="21" fillId="0" borderId="21" xfId="163" applyNumberFormat="1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/>
    </xf>
    <xf numFmtId="1" fontId="53" fillId="0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/>
    <xf numFmtId="0" fontId="21" fillId="0" borderId="36" xfId="0" applyFont="1" applyBorder="1" applyAlignment="1">
      <alignment horizontal="left" vertical="center" wrapText="1"/>
    </xf>
    <xf numFmtId="49" fontId="53" fillId="0" borderId="21" xfId="0" applyNumberFormat="1" applyFont="1" applyFill="1" applyBorder="1" applyAlignment="1" applyProtection="1">
      <alignment vertical="center" wrapText="1"/>
      <protection locked="0"/>
    </xf>
    <xf numFmtId="0" fontId="53" fillId="0" borderId="21" xfId="0" applyNumberFormat="1" applyFont="1" applyFill="1" applyBorder="1" applyAlignment="1" applyProtection="1">
      <alignment vertical="center" wrapText="1"/>
      <protection locked="0"/>
    </xf>
    <xf numFmtId="49" fontId="21" fillId="0" borderId="21" xfId="143" applyNumberFormat="1" applyFont="1" applyFill="1" applyBorder="1" applyAlignment="1">
      <alignment horizontal="left" vertical="center" wrapText="1"/>
    </xf>
    <xf numFmtId="0" fontId="49" fillId="0" borderId="20" xfId="0" applyFont="1" applyFill="1" applyBorder="1" applyAlignment="1" applyProtection="1">
      <alignment vertical="center" wrapText="1"/>
    </xf>
    <xf numFmtId="3" fontId="56" fillId="24" borderId="20" xfId="165" applyNumberFormat="1" applyFont="1" applyFill="1" applyBorder="1" applyAlignment="1">
      <alignment horizontal="left" vertical="center" wrapText="1"/>
    </xf>
    <xf numFmtId="4" fontId="49" fillId="0" borderId="20" xfId="163" applyNumberFormat="1" applyFont="1" applyFill="1" applyBorder="1" applyAlignment="1">
      <alignment horizontal="left" vertical="center" wrapText="1"/>
    </xf>
    <xf numFmtId="0" fontId="58" fillId="0" borderId="20" xfId="0" applyFont="1" applyBorder="1"/>
    <xf numFmtId="0" fontId="58" fillId="0" borderId="20" xfId="0" applyFont="1" applyBorder="1" applyAlignment="1"/>
    <xf numFmtId="0" fontId="21" fillId="0" borderId="19" xfId="0" applyFont="1" applyFill="1" applyBorder="1" applyAlignment="1">
      <alignment vertical="center" wrapText="1"/>
    </xf>
    <xf numFmtId="0" fontId="49" fillId="24" borderId="20" xfId="0" applyFont="1" applyFill="1" applyBorder="1" applyAlignment="1">
      <alignment horizontal="left" vertical="center" wrapText="1"/>
    </xf>
    <xf numFmtId="0" fontId="49" fillId="0" borderId="20" xfId="143" applyFont="1" applyFill="1" applyBorder="1" applyAlignment="1">
      <alignment horizontal="left" vertical="center" wrapText="1"/>
    </xf>
    <xf numFmtId="0" fontId="49" fillId="0" borderId="20" xfId="78" applyFont="1" applyBorder="1" applyAlignment="1">
      <alignment horizontal="left" vertical="center" wrapText="1"/>
    </xf>
    <xf numFmtId="4" fontId="49" fillId="0" borderId="20" xfId="78" applyNumberFormat="1" applyFont="1" applyBorder="1" applyAlignment="1">
      <alignment horizontal="left" vertical="center"/>
    </xf>
    <xf numFmtId="4" fontId="49" fillId="0" borderId="20" xfId="0" applyNumberFormat="1" applyFont="1" applyBorder="1" applyAlignment="1">
      <alignment horizontal="left" vertical="center"/>
    </xf>
    <xf numFmtId="4" fontId="44" fillId="24" borderId="20" xfId="165" applyNumberFormat="1" applyFont="1" applyFill="1" applyBorder="1" applyAlignment="1">
      <alignment horizontal="left" vertical="center" wrapText="1"/>
    </xf>
    <xf numFmtId="4" fontId="49" fillId="0" borderId="19" xfId="0" applyNumberFormat="1" applyFont="1" applyBorder="1" applyAlignment="1">
      <alignment horizontal="left" vertical="center"/>
    </xf>
    <xf numFmtId="4" fontId="49" fillId="0" borderId="35" xfId="0" applyNumberFormat="1" applyFont="1" applyBorder="1" applyAlignment="1">
      <alignment horizontal="left" vertical="center"/>
    </xf>
    <xf numFmtId="4" fontId="49" fillId="0" borderId="21" xfId="0" applyNumberFormat="1" applyFont="1" applyBorder="1" applyAlignment="1">
      <alignment horizontal="left" vertical="center"/>
    </xf>
    <xf numFmtId="4" fontId="49" fillId="0" borderId="21" xfId="78" applyNumberFormat="1" applyFont="1" applyBorder="1" applyAlignment="1">
      <alignment horizontal="left" vertical="center"/>
    </xf>
    <xf numFmtId="3" fontId="56" fillId="24" borderId="21" xfId="165" applyNumberFormat="1" applyFont="1" applyFill="1" applyBorder="1" applyAlignment="1">
      <alignment horizontal="left" vertical="center" wrapText="1"/>
    </xf>
    <xf numFmtId="4" fontId="49" fillId="0" borderId="21" xfId="163" applyNumberFormat="1" applyFont="1" applyFill="1" applyBorder="1" applyAlignment="1">
      <alignment horizontal="left" vertical="center" wrapText="1"/>
    </xf>
    <xf numFmtId="0" fontId="58" fillId="0" borderId="21" xfId="0" applyFont="1" applyBorder="1" applyAlignment="1"/>
    <xf numFmtId="49" fontId="56" fillId="24" borderId="20" xfId="165" applyNumberFormat="1" applyFont="1" applyFill="1" applyBorder="1" applyAlignment="1">
      <alignment horizontal="left" vertical="center" wrapText="1"/>
    </xf>
    <xf numFmtId="0" fontId="58" fillId="0" borderId="20" xfId="0" applyFont="1" applyBorder="1" applyAlignment="1" applyProtection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0" xfId="12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0" xfId="120" applyFont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wrapText="1"/>
    </xf>
    <xf numFmtId="0" fontId="21" fillId="0" borderId="20" xfId="78" applyFont="1" applyBorder="1" applyAlignment="1">
      <alignment horizontal="left" vertical="center" wrapText="1"/>
    </xf>
    <xf numFmtId="1" fontId="49" fillId="0" borderId="22" xfId="0" applyNumberFormat="1" applyFont="1" applyFill="1" applyBorder="1" applyAlignment="1">
      <alignment horizontal="left" vertical="center"/>
    </xf>
    <xf numFmtId="1" fontId="21" fillId="0" borderId="20" xfId="78" applyNumberFormat="1" applyFont="1" applyFill="1" applyBorder="1" applyAlignment="1">
      <alignment horizontal="left" vertical="center" wrapText="1"/>
    </xf>
    <xf numFmtId="0" fontId="44" fillId="0" borderId="21" xfId="120" applyFont="1" applyBorder="1" applyAlignment="1">
      <alignment horizontal="left" vertical="center" wrapText="1"/>
    </xf>
    <xf numFmtId="0" fontId="21" fillId="0" borderId="20" xfId="78" applyFont="1" applyBorder="1" applyAlignment="1">
      <alignment horizontal="left" vertical="center" wrapText="1" shrinkToFit="1"/>
    </xf>
    <xf numFmtId="1" fontId="49" fillId="0" borderId="23" xfId="78" applyNumberFormat="1" applyFont="1" applyFill="1" applyBorder="1" applyAlignment="1">
      <alignment horizontal="left" vertical="center"/>
    </xf>
    <xf numFmtId="4" fontId="21" fillId="0" borderId="22" xfId="163" applyNumberFormat="1" applyFont="1" applyFill="1" applyBorder="1" applyAlignment="1">
      <alignment horizontal="left" vertical="center" wrapText="1"/>
    </xf>
    <xf numFmtId="4" fontId="21" fillId="0" borderId="21" xfId="0" applyNumberFormat="1" applyFont="1" applyBorder="1" applyAlignment="1">
      <alignment horizontal="left" vertical="center"/>
    </xf>
    <xf numFmtId="3" fontId="49" fillId="0" borderId="23" xfId="0" applyNumberFormat="1" applyFont="1" applyFill="1" applyBorder="1" applyAlignment="1">
      <alignment horizontal="left" vertical="center"/>
    </xf>
    <xf numFmtId="0" fontId="57" fillId="0" borderId="20" xfId="0" applyFont="1" applyBorder="1" applyAlignment="1">
      <alignment horizontal="left" vertical="center" wrapText="1"/>
    </xf>
    <xf numFmtId="0" fontId="5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>
      <alignment horizontal="left" vertical="center" wrapText="1"/>
    </xf>
    <xf numFmtId="0" fontId="58" fillId="0" borderId="21" xfId="0" applyFont="1" applyBorder="1"/>
    <xf numFmtId="4" fontId="44" fillId="24" borderId="21" xfId="165" applyNumberFormat="1" applyFont="1" applyFill="1" applyBorder="1" applyAlignment="1">
      <alignment horizontal="left" vertical="center" wrapText="1"/>
    </xf>
    <xf numFmtId="1" fontId="49" fillId="0" borderId="20" xfId="163" applyNumberFormat="1" applyFont="1" applyFill="1" applyBorder="1" applyAlignment="1">
      <alignment horizontal="left" vertical="center" wrapText="1"/>
    </xf>
    <xf numFmtId="4" fontId="49" fillId="0" borderId="20" xfId="156" applyNumberFormat="1" applyFont="1" applyBorder="1" applyAlignment="1">
      <alignment horizontal="left" vertical="center"/>
    </xf>
    <xf numFmtId="0" fontId="49" fillId="0" borderId="20" xfId="167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0" xfId="167" applyFont="1" applyFill="1" applyBorder="1" applyAlignment="1">
      <alignment horizontal="left" vertical="center" wrapText="1"/>
    </xf>
    <xf numFmtId="0" fontId="56" fillId="0" borderId="21" xfId="167" applyFont="1" applyFill="1" applyBorder="1" applyAlignment="1">
      <alignment horizontal="left" vertical="center" wrapText="1"/>
    </xf>
    <xf numFmtId="4" fontId="49" fillId="0" borderId="21" xfId="156" applyNumberFormat="1" applyFont="1" applyBorder="1" applyAlignment="1">
      <alignment horizontal="left" vertical="center"/>
    </xf>
    <xf numFmtId="4" fontId="56" fillId="24" borderId="21" xfId="165" applyNumberFormat="1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0" borderId="20" xfId="143" applyFont="1" applyFill="1" applyBorder="1" applyAlignment="1">
      <alignment vertical="center" wrapText="1"/>
    </xf>
    <xf numFmtId="4" fontId="56" fillId="24" borderId="20" xfId="165" applyNumberFormat="1" applyFont="1" applyFill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/>
    </xf>
    <xf numFmtId="3" fontId="21" fillId="0" borderId="20" xfId="12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9" fillId="0" borderId="20" xfId="120" applyFont="1" applyBorder="1" applyAlignment="1">
      <alignment horizontal="left" vertical="center" wrapText="1"/>
    </xf>
    <xf numFmtId="0" fontId="49" fillId="0" borderId="20" xfId="0" applyFont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9" fillId="0" borderId="20" xfId="163" applyNumberFormat="1" applyFont="1" applyBorder="1" applyAlignment="1">
      <alignment horizontal="left" vertical="center" wrapText="1"/>
    </xf>
    <xf numFmtId="1" fontId="49" fillId="0" borderId="20" xfId="0" applyNumberFormat="1" applyFont="1" applyFill="1" applyBorder="1" applyAlignment="1">
      <alignment horizontal="left" vertical="center" wrapText="1"/>
    </xf>
    <xf numFmtId="9" fontId="49" fillId="0" borderId="20" xfId="0" applyNumberFormat="1" applyFont="1" applyFill="1" applyBorder="1" applyAlignment="1">
      <alignment horizontal="left" vertical="center" wrapText="1"/>
    </xf>
    <xf numFmtId="1" fontId="21" fillId="0" borderId="19" xfId="0" applyNumberFormat="1" applyFont="1" applyFill="1" applyBorder="1" applyAlignment="1">
      <alignment horizontal="left" vertical="center" wrapText="1"/>
    </xf>
    <xf numFmtId="9" fontId="21" fillId="0" borderId="20" xfId="0" applyNumberFormat="1" applyFont="1" applyFill="1" applyBorder="1" applyAlignment="1">
      <alignment horizontal="left" vertical="center" wrapText="1"/>
    </xf>
    <xf numFmtId="4" fontId="21" fillId="0" borderId="20" xfId="168" applyNumberFormat="1" applyFont="1" applyBorder="1" applyAlignment="1">
      <alignment horizontal="left" vertical="center" wrapText="1"/>
    </xf>
    <xf numFmtId="4" fontId="21" fillId="0" borderId="20" xfId="120" applyNumberFormat="1" applyFont="1" applyBorder="1" applyAlignment="1">
      <alignment horizontal="left" vertical="center" wrapText="1"/>
    </xf>
    <xf numFmtId="49" fontId="49" fillId="24" borderId="20" xfId="143" applyNumberFormat="1" applyFont="1" applyFill="1" applyBorder="1" applyAlignment="1">
      <alignment horizontal="left" vertical="center" wrapText="1"/>
    </xf>
    <xf numFmtId="0" fontId="56" fillId="24" borderId="20" xfId="143" applyFont="1" applyFill="1" applyBorder="1" applyAlignment="1">
      <alignment horizontal="left" vertical="center" wrapText="1"/>
    </xf>
    <xf numFmtId="1" fontId="49" fillId="0" borderId="20" xfId="78" applyNumberFormat="1" applyFont="1" applyFill="1" applyBorder="1" applyAlignment="1">
      <alignment horizontal="left" vertical="center" wrapText="1"/>
    </xf>
    <xf numFmtId="49" fontId="56" fillId="24" borderId="21" xfId="165" applyNumberFormat="1" applyFont="1" applyFill="1" applyBorder="1" applyAlignment="1">
      <alignment horizontal="left" vertical="center" wrapText="1"/>
    </xf>
    <xf numFmtId="0" fontId="21" fillId="0" borderId="20" xfId="163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1" fontId="49" fillId="0" borderId="21" xfId="78" applyNumberFormat="1" applyFont="1" applyFill="1" applyBorder="1" applyAlignment="1">
      <alignment horizontal="left" vertical="center" wrapText="1"/>
    </xf>
    <xf numFmtId="4" fontId="21" fillId="0" borderId="20" xfId="163" applyNumberFormat="1" applyFont="1" applyBorder="1" applyAlignment="1">
      <alignment horizontal="left" vertical="center" wrapText="1"/>
    </xf>
    <xf numFmtId="0" fontId="49" fillId="0" borderId="20" xfId="120" applyFont="1" applyFill="1" applyBorder="1" applyAlignment="1">
      <alignment horizontal="left" vertical="center" wrapText="1"/>
    </xf>
    <xf numFmtId="0" fontId="58" fillId="0" borderId="20" xfId="0" applyFont="1" applyFill="1" applyBorder="1"/>
    <xf numFmtId="4" fontId="21" fillId="0" borderId="20" xfId="168" applyNumberFormat="1" applyFont="1" applyFill="1" applyBorder="1" applyAlignment="1">
      <alignment horizontal="left" vertical="center" wrapText="1"/>
    </xf>
    <xf numFmtId="4" fontId="21" fillId="0" borderId="20" xfId="78" applyNumberFormat="1" applyFont="1" applyFill="1" applyBorder="1" applyAlignment="1">
      <alignment horizontal="left" vertical="center"/>
    </xf>
    <xf numFmtId="4" fontId="56" fillId="0" borderId="20" xfId="165" applyNumberFormat="1" applyFont="1" applyFill="1" applyBorder="1" applyAlignment="1">
      <alignment horizontal="left" vertical="center" wrapText="1"/>
    </xf>
    <xf numFmtId="3" fontId="56" fillId="0" borderId="20" xfId="165" applyNumberFormat="1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vertical="center" wrapText="1"/>
    </xf>
    <xf numFmtId="0" fontId="4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21" xfId="120" applyFont="1" applyBorder="1" applyAlignment="1">
      <alignment horizontal="left" vertical="center" wrapText="1"/>
    </xf>
    <xf numFmtId="0" fontId="21" fillId="0" borderId="21" xfId="163" applyFont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49" fillId="0" borderId="23" xfId="120" applyFont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21" fillId="25" borderId="19" xfId="120" applyFont="1" applyFill="1" applyBorder="1" applyAlignment="1">
      <alignment horizontal="left" vertical="center" wrapText="1"/>
    </xf>
    <xf numFmtId="0" fontId="21" fillId="25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4" fontId="49" fillId="0" borderId="19" xfId="168" applyNumberFormat="1" applyFont="1" applyBorder="1" applyAlignment="1">
      <alignment horizontal="left" vertical="center"/>
    </xf>
    <xf numFmtId="0" fontId="21" fillId="24" borderId="20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49" fillId="24" borderId="20" xfId="0" applyFont="1" applyFill="1" applyBorder="1" applyAlignment="1" applyProtection="1">
      <alignment horizontal="left" vertical="center" wrapText="1"/>
    </xf>
    <xf numFmtId="0" fontId="49" fillId="0" borderId="20" xfId="0" applyFont="1" applyFill="1" applyBorder="1" applyAlignment="1" applyProtection="1">
      <alignment horizontal="left" vertical="center" wrapText="1"/>
    </xf>
    <xf numFmtId="4" fontId="49" fillId="0" borderId="20" xfId="168" applyNumberFormat="1" applyFont="1" applyBorder="1" applyAlignment="1">
      <alignment horizontal="left" vertical="center"/>
    </xf>
    <xf numFmtId="49" fontId="56" fillId="0" borderId="20" xfId="0" applyNumberFormat="1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49" fontId="56" fillId="0" borderId="21" xfId="0" applyNumberFormat="1" applyFont="1" applyFill="1" applyBorder="1" applyAlignment="1">
      <alignment horizontal="left" vertical="center" wrapText="1"/>
    </xf>
    <xf numFmtId="9" fontId="21" fillId="0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21" fillId="0" borderId="35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4" fontId="21" fillId="0" borderId="21" xfId="163" applyNumberFormat="1" applyFont="1" applyBorder="1" applyAlignment="1">
      <alignment horizontal="left" vertical="center" wrapText="1"/>
    </xf>
    <xf numFmtId="4" fontId="49" fillId="0" borderId="20" xfId="0" applyNumberFormat="1" applyFont="1" applyFill="1" applyBorder="1" applyAlignment="1">
      <alignment horizontal="left" vertical="center" wrapText="1"/>
    </xf>
    <xf numFmtId="4" fontId="49" fillId="0" borderId="21" xfId="0" applyNumberFormat="1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4" fontId="49" fillId="0" borderId="20" xfId="78" applyNumberFormat="1" applyFont="1" applyBorder="1" applyAlignment="1">
      <alignment horizontal="left" vertical="center" wrapText="1"/>
    </xf>
    <xf numFmtId="0" fontId="58" fillId="0" borderId="20" xfId="0" applyFont="1" applyBorder="1" applyAlignment="1">
      <alignment vertical="center"/>
    </xf>
    <xf numFmtId="4" fontId="49" fillId="0" borderId="20" xfId="0" applyNumberFormat="1" applyFont="1" applyFill="1" applyBorder="1" applyAlignment="1">
      <alignment horizontal="left" vertical="center"/>
    </xf>
    <xf numFmtId="4" fontId="49" fillId="0" borderId="21" xfId="163" applyNumberFormat="1" applyFont="1" applyBorder="1" applyAlignment="1">
      <alignment horizontal="left" vertical="center" wrapText="1"/>
    </xf>
    <xf numFmtId="0" fontId="58" fillId="0" borderId="21" xfId="0" applyFont="1" applyBorder="1" applyAlignment="1">
      <alignment vertical="center"/>
    </xf>
    <xf numFmtId="49" fontId="56" fillId="0" borderId="20" xfId="143" applyNumberFormat="1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0" fontId="49" fillId="0" borderId="19" xfId="120" applyFont="1" applyBorder="1" applyAlignment="1">
      <alignment horizontal="left" vertical="center" wrapText="1"/>
    </xf>
    <xf numFmtId="49" fontId="56" fillId="24" borderId="19" xfId="165" applyNumberFormat="1" applyFont="1" applyFill="1" applyBorder="1" applyAlignment="1">
      <alignment horizontal="left" vertical="center" wrapText="1"/>
    </xf>
    <xf numFmtId="169" fontId="49" fillId="0" borderId="20" xfId="0" applyNumberFormat="1" applyFont="1" applyFill="1" applyBorder="1" applyAlignment="1">
      <alignment horizontal="left" vertical="center"/>
    </xf>
    <xf numFmtId="0" fontId="22" fillId="0" borderId="0" xfId="120" applyFont="1" applyAlignment="1">
      <alignment horizontal="left" wrapText="1"/>
    </xf>
    <xf numFmtId="0" fontId="22" fillId="0" borderId="0" xfId="120" applyFont="1" applyBorder="1" applyAlignment="1">
      <alignment horizontal="left" wrapText="1"/>
    </xf>
    <xf numFmtId="0" fontId="22" fillId="0" borderId="0" xfId="120" applyFont="1" applyBorder="1" applyAlignment="1">
      <alignment wrapText="1"/>
    </xf>
    <xf numFmtId="0" fontId="22" fillId="0" borderId="0" xfId="120" applyFont="1" applyAlignment="1">
      <alignment vertical="center" wrapText="1"/>
    </xf>
    <xf numFmtId="0" fontId="22" fillId="0" borderId="0" xfId="120" applyFont="1" applyFill="1" applyAlignment="1">
      <alignment wrapText="1"/>
    </xf>
    <xf numFmtId="0" fontId="49" fillId="0" borderId="22" xfId="0" applyFont="1" applyFill="1" applyBorder="1" applyAlignment="1">
      <alignment horizontal="left" vertical="center"/>
    </xf>
    <xf numFmtId="0" fontId="21" fillId="0" borderId="21" xfId="132" applyFont="1" applyFill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6" fillId="0" borderId="20" xfId="169" applyFont="1" applyBorder="1" applyAlignment="1">
      <alignment horizontal="left" vertical="center" wrapText="1"/>
    </xf>
    <xf numFmtId="0" fontId="49" fillId="0" borderId="20" xfId="169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/>
    </xf>
    <xf numFmtId="4" fontId="49" fillId="0" borderId="19" xfId="0" applyNumberFormat="1" applyFont="1" applyFill="1" applyBorder="1" applyAlignment="1">
      <alignment horizontal="left" vertical="center"/>
    </xf>
    <xf numFmtId="0" fontId="49" fillId="0" borderId="20" xfId="163" applyFont="1" applyBorder="1" applyAlignment="1">
      <alignment horizontal="left" vertical="center" wrapText="1"/>
    </xf>
    <xf numFmtId="49" fontId="49" fillId="24" borderId="20" xfId="165" applyNumberFormat="1" applyFont="1" applyFill="1" applyBorder="1" applyAlignment="1">
      <alignment horizontal="left" vertical="center" wrapText="1"/>
    </xf>
    <xf numFmtId="0" fontId="21" fillId="0" borderId="20" xfId="165" applyFont="1" applyFill="1" applyBorder="1" applyAlignment="1">
      <alignment vertical="center" wrapText="1"/>
    </xf>
    <xf numFmtId="0" fontId="53" fillId="0" borderId="20" xfId="0" applyNumberFormat="1" applyFont="1" applyFill="1" applyBorder="1" applyAlignment="1" applyProtection="1">
      <alignment vertical="center" wrapText="1"/>
      <protection locked="0"/>
    </xf>
    <xf numFmtId="4" fontId="70" fillId="0" borderId="20" xfId="118" applyNumberFormat="1" applyFont="1" applyBorder="1"/>
    <xf numFmtId="0" fontId="21" fillId="0" borderId="21" xfId="0" applyFont="1" applyFill="1" applyBorder="1" applyAlignment="1" applyProtection="1">
      <alignment horizontal="left" vertical="center" wrapText="1"/>
    </xf>
    <xf numFmtId="0" fontId="49" fillId="0" borderId="20" xfId="163" applyFont="1" applyBorder="1" applyAlignment="1">
      <alignment horizontal="left" vertical="center"/>
    </xf>
    <xf numFmtId="4" fontId="57" fillId="0" borderId="20" xfId="0" applyNumberFormat="1" applyFont="1" applyBorder="1" applyAlignment="1">
      <alignment horizontal="left" vertical="center"/>
    </xf>
    <xf numFmtId="4" fontId="50" fillId="27" borderId="20" xfId="0" applyNumberFormat="1" applyFont="1" applyFill="1" applyBorder="1" applyAlignment="1" applyProtection="1">
      <alignment horizontal="left" vertical="center" wrapText="1"/>
    </xf>
    <xf numFmtId="4" fontId="58" fillId="0" borderId="20" xfId="137" applyNumberFormat="1" applyFont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78" applyNumberFormat="1" applyFont="1" applyBorder="1" applyAlignment="1">
      <alignment horizontal="left" vertical="center" wrapText="1"/>
    </xf>
    <xf numFmtId="0" fontId="21" fillId="0" borderId="21" xfId="0" applyFont="1" applyFill="1" applyBorder="1" applyAlignment="1" applyProtection="1">
      <alignment vertical="center" wrapText="1"/>
    </xf>
    <xf numFmtId="4" fontId="50" fillId="27" borderId="21" xfId="0" applyNumberFormat="1" applyFont="1" applyFill="1" applyBorder="1" applyAlignment="1" applyProtection="1">
      <alignment horizontal="left" vertical="center" wrapText="1"/>
    </xf>
    <xf numFmtId="4" fontId="49" fillId="0" borderId="0" xfId="0" applyNumberFormat="1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left" vertical="center"/>
    </xf>
    <xf numFmtId="4" fontId="58" fillId="0" borderId="21" xfId="137" applyNumberFormat="1" applyFont="1" applyBorder="1" applyAlignment="1">
      <alignment horizontal="left" vertical="center"/>
    </xf>
    <xf numFmtId="4" fontId="49" fillId="0" borderId="21" xfId="0" applyNumberFormat="1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 wrapText="1"/>
    </xf>
    <xf numFmtId="0" fontId="49" fillId="0" borderId="26" xfId="120" applyFont="1" applyBorder="1" applyAlignment="1">
      <alignment horizontal="left" vertical="center" wrapText="1"/>
    </xf>
    <xf numFmtId="0" fontId="49" fillId="0" borderId="21" xfId="163" applyFont="1" applyBorder="1" applyAlignment="1">
      <alignment horizontal="left" vertical="center"/>
    </xf>
    <xf numFmtId="4" fontId="70" fillId="0" borderId="21" xfId="118" applyNumberFormat="1" applyFont="1" applyBorder="1"/>
    <xf numFmtId="0" fontId="21" fillId="0" borderId="21" xfId="0" applyFont="1" applyFill="1" applyBorder="1" applyAlignment="1">
      <alignment horizontal="center" vertical="center" wrapText="1"/>
    </xf>
    <xf numFmtId="0" fontId="50" fillId="27" borderId="20" xfId="0" applyFont="1" applyFill="1" applyBorder="1" applyAlignment="1" applyProtection="1">
      <alignment horizontal="left" vertical="center" wrapText="1"/>
    </xf>
    <xf numFmtId="3" fontId="49" fillId="0" borderId="20" xfId="0" applyNumberFormat="1" applyFont="1" applyFill="1" applyBorder="1" applyAlignment="1">
      <alignment horizontal="left" vertical="center" wrapText="1"/>
    </xf>
    <xf numFmtId="4" fontId="44" fillId="24" borderId="35" xfId="165" applyNumberFormat="1" applyFont="1" applyFill="1" applyBorder="1" applyAlignment="1">
      <alignment horizontal="left" vertical="center" wrapText="1"/>
    </xf>
    <xf numFmtId="0" fontId="50" fillId="27" borderId="21" xfId="0" applyFont="1" applyFill="1" applyBorder="1" applyAlignment="1" applyProtection="1">
      <alignment horizontal="left" vertical="center" wrapText="1"/>
    </xf>
    <xf numFmtId="0" fontId="44" fillId="0" borderId="20" xfId="0" applyFont="1" applyBorder="1" applyAlignment="1">
      <alignment vertical="center" wrapText="1"/>
    </xf>
    <xf numFmtId="170" fontId="44" fillId="0" borderId="20" xfId="0" applyNumberFormat="1" applyFont="1" applyBorder="1" applyAlignment="1">
      <alignment horizontal="left" vertical="center" wrapText="1"/>
    </xf>
    <xf numFmtId="0" fontId="24" fillId="0" borderId="0" xfId="120" applyFont="1" applyBorder="1" applyAlignment="1">
      <alignment horizontal="center"/>
    </xf>
    <xf numFmtId="0" fontId="21" fillId="0" borderId="0" xfId="118" applyFont="1" applyAlignment="1">
      <alignment horizontal="center" vertical="center"/>
    </xf>
    <xf numFmtId="0" fontId="25" fillId="0" borderId="29" xfId="120" applyFont="1" applyBorder="1" applyAlignment="1">
      <alignment horizontal="center" vertical="center" wrapText="1"/>
    </xf>
    <xf numFmtId="0" fontId="25" fillId="0" borderId="30" xfId="120" applyFont="1" applyBorder="1" applyAlignment="1">
      <alignment horizontal="center" vertical="center" wrapText="1"/>
    </xf>
    <xf numFmtId="0" fontId="25" fillId="0" borderId="29" xfId="120" applyFont="1" applyBorder="1" applyAlignment="1">
      <alignment horizontal="left" vertical="center" wrapText="1"/>
    </xf>
    <xf numFmtId="0" fontId="25" fillId="0" borderId="30" xfId="120" applyFont="1" applyBorder="1" applyAlignment="1">
      <alignment horizontal="left" vertical="center" wrapText="1"/>
    </xf>
    <xf numFmtId="0" fontId="25" fillId="0" borderId="33" xfId="120" applyFont="1" applyBorder="1" applyAlignment="1">
      <alignment horizontal="center" vertical="center" wrapText="1"/>
    </xf>
    <xf numFmtId="0" fontId="25" fillId="0" borderId="34" xfId="120" applyFont="1" applyBorder="1" applyAlignment="1">
      <alignment horizontal="center" vertical="center" wrapText="1"/>
    </xf>
    <xf numFmtId="0" fontId="25" fillId="0" borderId="31" xfId="120" applyFont="1" applyBorder="1" applyAlignment="1">
      <alignment horizontal="center" vertical="center" wrapText="1"/>
    </xf>
    <xf numFmtId="0" fontId="25" fillId="0" borderId="32" xfId="120" applyFont="1" applyBorder="1" applyAlignment="1">
      <alignment horizontal="center" vertical="center" wrapText="1"/>
    </xf>
    <xf numFmtId="0" fontId="25" fillId="0" borderId="29" xfId="120" applyFont="1" applyFill="1" applyBorder="1" applyAlignment="1">
      <alignment horizontal="center" vertical="center" wrapText="1"/>
    </xf>
    <xf numFmtId="0" fontId="25" fillId="0" borderId="30" xfId="120" applyFont="1" applyFill="1" applyBorder="1" applyAlignment="1">
      <alignment horizontal="center" vertical="center" wrapText="1"/>
    </xf>
    <xf numFmtId="0" fontId="25" fillId="0" borderId="10" xfId="120" applyFont="1" applyFill="1" applyBorder="1" applyAlignment="1">
      <alignment horizontal="center" vertical="center" wrapText="1"/>
    </xf>
    <xf numFmtId="0" fontId="25" fillId="0" borderId="11" xfId="120" applyFont="1" applyFill="1" applyBorder="1" applyAlignment="1">
      <alignment horizontal="center" vertical="center" wrapText="1"/>
    </xf>
    <xf numFmtId="0" fontId="25" fillId="0" borderId="12" xfId="120" applyFont="1" applyFill="1" applyBorder="1" applyAlignment="1">
      <alignment horizontal="center" vertical="center" wrapText="1"/>
    </xf>
    <xf numFmtId="0" fontId="26" fillId="0" borderId="24" xfId="120" applyFont="1" applyBorder="1" applyAlignment="1">
      <alignment horizontal="center" vertical="top" wrapText="1"/>
    </xf>
    <xf numFmtId="0" fontId="26" fillId="0" borderId="11" xfId="120" applyFont="1" applyBorder="1" applyAlignment="1">
      <alignment horizontal="center" vertical="top" wrapText="1"/>
    </xf>
    <xf numFmtId="0" fontId="26" fillId="0" borderId="25" xfId="120" applyFont="1" applyBorder="1" applyAlignment="1">
      <alignment horizontal="center" vertical="top" wrapText="1"/>
    </xf>
    <xf numFmtId="4" fontId="25" fillId="0" borderId="29" xfId="120" applyNumberFormat="1" applyFont="1" applyFill="1" applyBorder="1" applyAlignment="1">
      <alignment horizontal="center" vertical="center" wrapText="1"/>
    </xf>
    <xf numFmtId="4" fontId="25" fillId="0" borderId="30" xfId="120" applyNumberFormat="1" applyFont="1" applyFill="1" applyBorder="1" applyAlignment="1">
      <alignment horizontal="center" vertical="center" wrapText="1"/>
    </xf>
  </cellXfs>
  <cellStyles count="17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"/>
    <cellStyle name="20% - Акцент1 3" xfId="8"/>
    <cellStyle name="20% - Акцент2 2" xfId="11"/>
    <cellStyle name="20% - Акцент2 3" xfId="10"/>
    <cellStyle name="20% - Акцент3 2" xfId="13"/>
    <cellStyle name="20% - Акцент3 3" xfId="12"/>
    <cellStyle name="20% - Акцент4 2" xfId="15"/>
    <cellStyle name="20% - Акцент4 3" xfId="14"/>
    <cellStyle name="20% - Акцент5 2" xfId="17"/>
    <cellStyle name="20% - Акцент5 3" xfId="16"/>
    <cellStyle name="20% - Акцент6 2" xfId="19"/>
    <cellStyle name="20% - Акцент6 3" xfId="18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Акцент1 2" xfId="27"/>
    <cellStyle name="40% - Акцент1 3" xfId="26"/>
    <cellStyle name="40% - Акцент2 2" xfId="29"/>
    <cellStyle name="40% - Акцент2 3" xfId="28"/>
    <cellStyle name="40% - Акцент3 2" xfId="31"/>
    <cellStyle name="40% - Акцент3 3" xfId="30"/>
    <cellStyle name="40% - Акцент4 2" xfId="33"/>
    <cellStyle name="40% - Акцент4 3" xfId="32"/>
    <cellStyle name="40% - Акцент5 2" xfId="35"/>
    <cellStyle name="40% - Акцент5 3" xfId="34"/>
    <cellStyle name="40% - Акцент6 2" xfId="37"/>
    <cellStyle name="40% - Акцент6 3" xfId="36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5"/>
    <cellStyle name="60% - Акцент1 3" xfId="44"/>
    <cellStyle name="60% - Акцент2 2" xfId="47"/>
    <cellStyle name="60% - Акцент2 3" xfId="46"/>
    <cellStyle name="60% - Акцент3 2" xfId="49"/>
    <cellStyle name="60% - Акцент3 3" xfId="48"/>
    <cellStyle name="60% - Акцент4 2" xfId="51"/>
    <cellStyle name="60% - Акцент4 3" xfId="50"/>
    <cellStyle name="60% - Акцент5 2" xfId="53"/>
    <cellStyle name="60% - Акцент5 3" xfId="52"/>
    <cellStyle name="60% - Акцент6 2" xfId="55"/>
    <cellStyle name="60% - Акцент6 3" xfId="54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2" xfId="65"/>
    <cellStyle name="Comma_Sheet2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_Sheet1" xfId="77"/>
    <cellStyle name="Normal_Sheet2" xfId="78"/>
    <cellStyle name="Normal_Sheet3" xfId="163"/>
    <cellStyle name="Note" xfId="79"/>
    <cellStyle name="Output" xfId="80"/>
    <cellStyle name="Title" xfId="81"/>
    <cellStyle name="Total" xfId="82"/>
    <cellStyle name="Warning Text" xfId="83"/>
    <cellStyle name="Акцент1 2" xfId="85"/>
    <cellStyle name="Акцент1 3" xfId="84"/>
    <cellStyle name="Акцент2 2" xfId="87"/>
    <cellStyle name="Акцент2 3" xfId="86"/>
    <cellStyle name="Акцент3 2" xfId="89"/>
    <cellStyle name="Акцент3 3" xfId="88"/>
    <cellStyle name="Акцент4 2" xfId="91"/>
    <cellStyle name="Акцент4 3" xfId="90"/>
    <cellStyle name="Акцент5 2" xfId="93"/>
    <cellStyle name="Акцент5 3" xfId="92"/>
    <cellStyle name="Акцент6 2" xfId="95"/>
    <cellStyle name="Акцент6 3" xfId="94"/>
    <cellStyle name="Ввод  2" xfId="97"/>
    <cellStyle name="Ввод  3" xfId="96"/>
    <cellStyle name="Вывод 2" xfId="99"/>
    <cellStyle name="Вывод 3" xfId="98"/>
    <cellStyle name="Вычисление 2" xfId="101"/>
    <cellStyle name="Вычисление 3" xfId="100"/>
    <cellStyle name="Заголовок 1 2" xfId="103"/>
    <cellStyle name="Заголовок 1 3" xfId="102"/>
    <cellStyle name="Заголовок 2 2" xfId="105"/>
    <cellStyle name="Заголовок 2 3" xfId="104"/>
    <cellStyle name="Заголовок 3 2" xfId="107"/>
    <cellStyle name="Заголовок 3 3" xfId="106"/>
    <cellStyle name="Заголовок 4 2" xfId="109"/>
    <cellStyle name="Заголовок 4 3" xfId="108"/>
    <cellStyle name="Итог 2" xfId="111"/>
    <cellStyle name="Итог 3" xfId="110"/>
    <cellStyle name="Контрольная ячейка 2" xfId="113"/>
    <cellStyle name="Контрольная ячейка 3" xfId="112"/>
    <cellStyle name="Название 2" xfId="115"/>
    <cellStyle name="Название 3" xfId="114"/>
    <cellStyle name="Нейтральный 2" xfId="117"/>
    <cellStyle name="Нейтральный 3" xfId="116"/>
    <cellStyle name="Обычный" xfId="0" builtinId="0"/>
    <cellStyle name="Обычный 10" xfId="118"/>
    <cellStyle name="Обычный 11" xfId="119"/>
    <cellStyle name="Обычный 12" xfId="1"/>
    <cellStyle name="Обычный 13" xfId="166"/>
    <cellStyle name="Обычный 14" xfId="167"/>
    <cellStyle name="Обычный 15" xfId="169"/>
    <cellStyle name="Обычный 2" xfId="120"/>
    <cellStyle name="Обычный 2 2" xfId="121"/>
    <cellStyle name="Обычный 2 2 2" xfId="122"/>
    <cellStyle name="Обычный 2 2 3" xfId="123"/>
    <cellStyle name="Обычный 2 2 4" xfId="124"/>
    <cellStyle name="Обычный 2 2 5" xfId="125"/>
    <cellStyle name="Обычный 2 3" xfId="126"/>
    <cellStyle name="Обычный 2 4" xfId="127"/>
    <cellStyle name="Обычный 2 5" xfId="128"/>
    <cellStyle name="Обычный 2 6" xfId="129"/>
    <cellStyle name="Обычный 2 7" xfId="130"/>
    <cellStyle name="Обычный 2_Внесение изменений в план ГЗ 2012 юридическое сопровождение сделки" xfId="131"/>
    <cellStyle name="Обычный 3" xfId="132"/>
    <cellStyle name="Обычный 3 2" xfId="133"/>
    <cellStyle name="Обычный 3 3" xfId="134"/>
    <cellStyle name="Обычный 3 4" xfId="135"/>
    <cellStyle name="Обычный 3 5" xfId="136"/>
    <cellStyle name="Обычный 4" xfId="137"/>
    <cellStyle name="Обычный 5" xfId="138"/>
    <cellStyle name="Обычный 6" xfId="139"/>
    <cellStyle name="Обычный 7" xfId="140"/>
    <cellStyle name="Обычный 8" xfId="141"/>
    <cellStyle name="Обычный 9" xfId="142"/>
    <cellStyle name="Обычный_Лист1" xfId="143"/>
    <cellStyle name="Обычный_Лист1 12" xfId="165"/>
    <cellStyle name="Обычный_Лист2" xfId="164"/>
    <cellStyle name="Плохой 2" xfId="145"/>
    <cellStyle name="Плохой 3" xfId="144"/>
    <cellStyle name="Пояснение 2" xfId="147"/>
    <cellStyle name="Пояснение 3" xfId="146"/>
    <cellStyle name="Примечание 2" xfId="149"/>
    <cellStyle name="Примечание 3" xfId="148"/>
    <cellStyle name="Процентный 2" xfId="150"/>
    <cellStyle name="Связанная ячейка 2" xfId="152"/>
    <cellStyle name="Связанная ячейка 3" xfId="151"/>
    <cellStyle name="Стиль 1" xfId="153"/>
    <cellStyle name="Текст предупреждения 2" xfId="155"/>
    <cellStyle name="Текст предупреждения 3" xfId="154"/>
    <cellStyle name="Финансовый" xfId="168" builtinId="3"/>
    <cellStyle name="Финансовый 2" xfId="157"/>
    <cellStyle name="Финансовый 3" xfId="156"/>
    <cellStyle name="Финансовый 3 2" xfId="158"/>
    <cellStyle name="Финансовый 4" xfId="159"/>
    <cellStyle name="Финансовый 6" xfId="160"/>
    <cellStyle name="Хороший 2" xfId="162"/>
    <cellStyle name="Хороший 3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485</xdr:row>
      <xdr:rowOff>0</xdr:rowOff>
    </xdr:from>
    <xdr:to>
      <xdr:col>5</xdr:col>
      <xdr:colOff>47625</xdr:colOff>
      <xdr:row>485</xdr:row>
      <xdr:rowOff>47625</xdr:rowOff>
    </xdr:to>
    <xdr:pic>
      <xdr:nvPicPr>
        <xdr:cNvPr id="271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390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451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8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29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398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4518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0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052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585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1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252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2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39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4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5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6652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808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5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341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8875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9503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037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0570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5674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5028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4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5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8302525"/>
          <a:ext cx="47625" cy="976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598</xdr:row>
      <xdr:rowOff>33617</xdr:rowOff>
    </xdr:to>
    <xdr:pic>
      <xdr:nvPicPr>
        <xdr:cNvPr id="387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9150250"/>
          <a:ext cx="47625" cy="960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596</xdr:row>
      <xdr:rowOff>89647</xdr:rowOff>
    </xdr:to>
    <xdr:pic>
      <xdr:nvPicPr>
        <xdr:cNvPr id="388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943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8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1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6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568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3976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39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727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6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8390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599</xdr:row>
      <xdr:rowOff>115980</xdr:rowOff>
    </xdr:to>
    <xdr:pic>
      <xdr:nvPicPr>
        <xdr:cNvPr id="408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6168925"/>
          <a:ext cx="47625" cy="1057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0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234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4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167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2218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1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2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8701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9768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2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0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301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0834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36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8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3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2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29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49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435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499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296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1901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5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0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2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57150</xdr:rowOff>
    </xdr:to>
    <xdr:pic>
      <xdr:nvPicPr>
        <xdr:cNvPr id="4633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501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5635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776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1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026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0874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30078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8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61407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5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49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7659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3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498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94410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0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1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1984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279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19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71637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6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2762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494</xdr:row>
      <xdr:rowOff>14007</xdr:rowOff>
    </xdr:to>
    <xdr:pic>
      <xdr:nvPicPr>
        <xdr:cNvPr id="527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3935550"/>
          <a:ext cx="476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0408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2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9571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47625</xdr:rowOff>
    </xdr:to>
    <xdr:pic>
      <xdr:nvPicPr>
        <xdr:cNvPr id="534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7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489</xdr:row>
      <xdr:rowOff>0</xdr:rowOff>
    </xdr:to>
    <xdr:pic>
      <xdr:nvPicPr>
        <xdr:cNvPr id="53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1537750"/>
          <a:ext cx="476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47625</xdr:colOff>
      <xdr:row>485</xdr:row>
      <xdr:rowOff>0</xdr:rowOff>
    </xdr:to>
    <xdr:pic>
      <xdr:nvPicPr>
        <xdr:cNvPr id="539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1738610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3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187</xdr:row>
      <xdr:rowOff>0</xdr:rowOff>
    </xdr:from>
    <xdr:ext cx="47625" cy="47625"/>
    <xdr:pic>
      <xdr:nvPicPr>
        <xdr:cNvPr id="540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912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542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403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3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168</xdr:row>
      <xdr:rowOff>0</xdr:rowOff>
    </xdr:from>
    <xdr:ext cx="47625" cy="47625"/>
    <xdr:pic>
      <xdr:nvPicPr>
        <xdr:cNvPr id="545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42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548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4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1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555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58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59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61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4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67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169</xdr:row>
      <xdr:rowOff>0</xdr:rowOff>
    </xdr:from>
    <xdr:ext cx="47625" cy="47625"/>
    <xdr:pic>
      <xdr:nvPicPr>
        <xdr:cNvPr id="571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61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5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170</xdr:row>
      <xdr:rowOff>0</xdr:rowOff>
    </xdr:from>
    <xdr:ext cx="47625" cy="47625"/>
    <xdr:pic>
      <xdr:nvPicPr>
        <xdr:cNvPr id="577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80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171</xdr:row>
      <xdr:rowOff>0</xdr:rowOff>
    </xdr:from>
    <xdr:ext cx="47625" cy="47625"/>
    <xdr:pic>
      <xdr:nvPicPr>
        <xdr:cNvPr id="580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099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172</xdr:row>
      <xdr:rowOff>0</xdr:rowOff>
    </xdr:from>
    <xdr:ext cx="47625" cy="47625"/>
    <xdr:pic>
      <xdr:nvPicPr>
        <xdr:cNvPr id="583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18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8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1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177</xdr:row>
      <xdr:rowOff>0</xdr:rowOff>
    </xdr:from>
    <xdr:ext cx="47625" cy="47625"/>
    <xdr:pic>
      <xdr:nvPicPr>
        <xdr:cNvPr id="59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213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599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9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173</xdr:row>
      <xdr:rowOff>0</xdr:rowOff>
    </xdr:from>
    <xdr:ext cx="47625" cy="47625"/>
    <xdr:pic>
      <xdr:nvPicPr>
        <xdr:cNvPr id="60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37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0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0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0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0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5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1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174</xdr:row>
      <xdr:rowOff>0</xdr:rowOff>
    </xdr:from>
    <xdr:ext cx="47625" cy="47625"/>
    <xdr:pic>
      <xdr:nvPicPr>
        <xdr:cNvPr id="625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156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230</xdr:row>
      <xdr:rowOff>0</xdr:rowOff>
    </xdr:from>
    <xdr:ext cx="47625" cy="47625"/>
    <xdr:pic>
      <xdr:nvPicPr>
        <xdr:cNvPr id="628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23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2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231</xdr:row>
      <xdr:rowOff>0</xdr:rowOff>
    </xdr:from>
    <xdr:ext cx="47625" cy="47625"/>
    <xdr:pic>
      <xdr:nvPicPr>
        <xdr:cNvPr id="634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42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232</xdr:row>
      <xdr:rowOff>0</xdr:rowOff>
    </xdr:from>
    <xdr:ext cx="47625" cy="47625"/>
    <xdr:pic>
      <xdr:nvPicPr>
        <xdr:cNvPr id="637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612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3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233</xdr:row>
      <xdr:rowOff>0</xdr:rowOff>
    </xdr:from>
    <xdr:ext cx="47625" cy="47625"/>
    <xdr:pic>
      <xdr:nvPicPr>
        <xdr:cNvPr id="640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80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234</xdr:row>
      <xdr:rowOff>0</xdr:rowOff>
    </xdr:from>
    <xdr:ext cx="47625" cy="47625"/>
    <xdr:pic>
      <xdr:nvPicPr>
        <xdr:cNvPr id="644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99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235</xdr:row>
      <xdr:rowOff>0</xdr:rowOff>
    </xdr:from>
    <xdr:ext cx="47625" cy="47625"/>
    <xdr:pic>
      <xdr:nvPicPr>
        <xdr:cNvPr id="647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18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226</xdr:row>
      <xdr:rowOff>0</xdr:rowOff>
    </xdr:from>
    <xdr:ext cx="47625" cy="47625"/>
    <xdr:pic>
      <xdr:nvPicPr>
        <xdr:cNvPr id="648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146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4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5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5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5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242</xdr:row>
      <xdr:rowOff>0</xdr:rowOff>
    </xdr:from>
    <xdr:ext cx="47625" cy="47625"/>
    <xdr:pic>
      <xdr:nvPicPr>
        <xdr:cNvPr id="650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470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214</xdr:row>
      <xdr:rowOff>0</xdr:rowOff>
    </xdr:from>
    <xdr:ext cx="47625" cy="47625"/>
    <xdr:pic>
      <xdr:nvPicPr>
        <xdr:cNvPr id="651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18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215</xdr:row>
      <xdr:rowOff>0</xdr:rowOff>
    </xdr:from>
    <xdr:ext cx="47625" cy="47625"/>
    <xdr:pic>
      <xdr:nvPicPr>
        <xdr:cNvPr id="653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37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65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207</xdr:row>
      <xdr:rowOff>0</xdr:rowOff>
    </xdr:from>
    <xdr:ext cx="47625" cy="47625"/>
    <xdr:pic>
      <xdr:nvPicPr>
        <xdr:cNvPr id="661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849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57150"/>
    <xdr:pic>
      <xdr:nvPicPr>
        <xdr:cNvPr id="6623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229</xdr:row>
      <xdr:rowOff>0</xdr:rowOff>
    </xdr:from>
    <xdr:ext cx="47625" cy="47625"/>
    <xdr:pic>
      <xdr:nvPicPr>
        <xdr:cNvPr id="668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204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247</xdr:row>
      <xdr:rowOff>0</xdr:rowOff>
    </xdr:from>
    <xdr:ext cx="47625" cy="47625"/>
    <xdr:pic>
      <xdr:nvPicPr>
        <xdr:cNvPr id="671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5660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197</xdr:row>
      <xdr:rowOff>0</xdr:rowOff>
    </xdr:from>
    <xdr:ext cx="47625" cy="47625"/>
    <xdr:pic>
      <xdr:nvPicPr>
        <xdr:cNvPr id="674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94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195</xdr:row>
      <xdr:rowOff>0</xdr:rowOff>
    </xdr:from>
    <xdr:ext cx="47625" cy="47625"/>
    <xdr:pic>
      <xdr:nvPicPr>
        <xdr:cNvPr id="679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56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7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238</xdr:row>
      <xdr:rowOff>0</xdr:rowOff>
    </xdr:from>
    <xdr:ext cx="47625" cy="47625"/>
    <xdr:pic>
      <xdr:nvPicPr>
        <xdr:cNvPr id="681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75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196</xdr:row>
      <xdr:rowOff>0</xdr:rowOff>
    </xdr:from>
    <xdr:ext cx="47625" cy="47625"/>
    <xdr:pic>
      <xdr:nvPicPr>
        <xdr:cNvPr id="687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575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8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198</xdr:row>
      <xdr:rowOff>0</xdr:rowOff>
    </xdr:from>
    <xdr:ext cx="47625" cy="47625"/>
    <xdr:pic>
      <xdr:nvPicPr>
        <xdr:cNvPr id="692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13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199</xdr:row>
      <xdr:rowOff>0</xdr:rowOff>
    </xdr:from>
    <xdr:ext cx="47625" cy="47625"/>
    <xdr:pic>
      <xdr:nvPicPr>
        <xdr:cNvPr id="694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32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200</xdr:row>
      <xdr:rowOff>0</xdr:rowOff>
    </xdr:from>
    <xdr:ext cx="47625" cy="47625"/>
    <xdr:pic>
      <xdr:nvPicPr>
        <xdr:cNvPr id="695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516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47625" cy="47625"/>
    <xdr:pic>
      <xdr:nvPicPr>
        <xdr:cNvPr id="698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70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69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2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05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57150"/>
    <xdr:pic>
      <xdr:nvPicPr>
        <xdr:cNvPr id="7060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0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203</xdr:row>
      <xdr:rowOff>0</xdr:rowOff>
    </xdr:from>
    <xdr:ext cx="47625" cy="47625"/>
    <xdr:pic>
      <xdr:nvPicPr>
        <xdr:cNvPr id="712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087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57150"/>
    <xdr:pic>
      <xdr:nvPicPr>
        <xdr:cNvPr id="7130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204</xdr:row>
      <xdr:rowOff>0</xdr:rowOff>
    </xdr:from>
    <xdr:ext cx="47625" cy="47625"/>
    <xdr:pic>
      <xdr:nvPicPr>
        <xdr:cNvPr id="719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278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1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1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1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1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1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1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1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202</xdr:row>
      <xdr:rowOff>0</xdr:rowOff>
    </xdr:from>
    <xdr:ext cx="47625" cy="47625"/>
    <xdr:pic>
      <xdr:nvPicPr>
        <xdr:cNvPr id="722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6897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5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57150"/>
    <xdr:pic>
      <xdr:nvPicPr>
        <xdr:cNvPr id="7264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2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205</xdr:row>
      <xdr:rowOff>0</xdr:rowOff>
    </xdr:from>
    <xdr:ext cx="47625" cy="47625"/>
    <xdr:pic>
      <xdr:nvPicPr>
        <xdr:cNvPr id="735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7468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209</xdr:row>
      <xdr:rowOff>0</xdr:rowOff>
    </xdr:from>
    <xdr:ext cx="47625" cy="47625"/>
    <xdr:pic>
      <xdr:nvPicPr>
        <xdr:cNvPr id="738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230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3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213</xdr:row>
      <xdr:rowOff>0</xdr:rowOff>
    </xdr:from>
    <xdr:ext cx="47625" cy="47625"/>
    <xdr:pic>
      <xdr:nvPicPr>
        <xdr:cNvPr id="741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899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216</xdr:row>
      <xdr:rowOff>0</xdr:rowOff>
    </xdr:from>
    <xdr:ext cx="47625" cy="47625"/>
    <xdr:pic>
      <xdr:nvPicPr>
        <xdr:cNvPr id="745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56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217</xdr:row>
      <xdr:rowOff>0</xdr:rowOff>
    </xdr:from>
    <xdr:ext cx="47625" cy="47625"/>
    <xdr:pic>
      <xdr:nvPicPr>
        <xdr:cNvPr id="748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75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4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221</xdr:row>
      <xdr:rowOff>0</xdr:rowOff>
    </xdr:from>
    <xdr:ext cx="47625" cy="47625"/>
    <xdr:pic>
      <xdr:nvPicPr>
        <xdr:cNvPr id="751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0516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218</xdr:row>
      <xdr:rowOff>0</xdr:rowOff>
    </xdr:from>
    <xdr:ext cx="47625" cy="47625"/>
    <xdr:pic>
      <xdr:nvPicPr>
        <xdr:cNvPr id="757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9994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47625"/>
    <xdr:pic>
      <xdr:nvPicPr>
        <xdr:cNvPr id="759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5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6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6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6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6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6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6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60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272</xdr:row>
      <xdr:rowOff>0</xdr:rowOff>
    </xdr:from>
    <xdr:ext cx="47625" cy="47625"/>
    <xdr:pic>
      <xdr:nvPicPr>
        <xdr:cNvPr id="763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422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994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273</xdr:row>
      <xdr:rowOff>0</xdr:rowOff>
    </xdr:from>
    <xdr:ext cx="47625" cy="47625"/>
    <xdr:pic>
      <xdr:nvPicPr>
        <xdr:cNvPr id="771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613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274</xdr:row>
      <xdr:rowOff>0</xdr:rowOff>
    </xdr:from>
    <xdr:ext cx="47625" cy="47625"/>
    <xdr:pic>
      <xdr:nvPicPr>
        <xdr:cNvPr id="775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18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275</xdr:row>
      <xdr:rowOff>0</xdr:rowOff>
    </xdr:from>
    <xdr:ext cx="47625" cy="47625"/>
    <xdr:pic>
      <xdr:nvPicPr>
        <xdr:cNvPr id="781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375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237</xdr:row>
      <xdr:rowOff>0</xdr:rowOff>
    </xdr:from>
    <xdr:ext cx="47625" cy="47625"/>
    <xdr:pic>
      <xdr:nvPicPr>
        <xdr:cNvPr id="787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3564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254</xdr:row>
      <xdr:rowOff>0</xdr:rowOff>
    </xdr:from>
    <xdr:ext cx="47625" cy="47625"/>
    <xdr:pic>
      <xdr:nvPicPr>
        <xdr:cNvPr id="789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6993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8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8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8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8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8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269</xdr:row>
      <xdr:rowOff>0</xdr:rowOff>
    </xdr:from>
    <xdr:ext cx="47625" cy="1829360"/>
    <xdr:pic>
      <xdr:nvPicPr>
        <xdr:cNvPr id="791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09851265"/>
          <a:ext cx="47625" cy="1829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276</xdr:row>
      <xdr:rowOff>0</xdr:rowOff>
    </xdr:from>
    <xdr:ext cx="47625" cy="47625"/>
    <xdr:pic>
      <xdr:nvPicPr>
        <xdr:cNvPr id="792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1565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270</xdr:row>
      <xdr:rowOff>0</xdr:rowOff>
    </xdr:from>
    <xdr:ext cx="47625" cy="47625"/>
    <xdr:pic>
      <xdr:nvPicPr>
        <xdr:cNvPr id="794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00417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47625"/>
    <xdr:pic>
      <xdr:nvPicPr>
        <xdr:cNvPr id="797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79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80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80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80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80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80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800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283</xdr:row>
      <xdr:rowOff>0</xdr:rowOff>
    </xdr:from>
    <xdr:ext cx="47625" cy="806824"/>
    <xdr:pic>
      <xdr:nvPicPr>
        <xdr:cNvPr id="80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2899265"/>
          <a:ext cx="47625" cy="80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289</xdr:row>
      <xdr:rowOff>0</xdr:rowOff>
    </xdr:from>
    <xdr:ext cx="47625" cy="0"/>
    <xdr:pic>
      <xdr:nvPicPr>
        <xdr:cNvPr id="802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147" y="114064676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74</xdr:row>
      <xdr:rowOff>0</xdr:rowOff>
    </xdr:from>
    <xdr:ext cx="47625" cy="47625"/>
    <xdr:pic>
      <xdr:nvPicPr>
        <xdr:cNvPr id="807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0324" y="13768667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187</xdr:row>
      <xdr:rowOff>0</xdr:rowOff>
    </xdr:from>
    <xdr:ext cx="47625" cy="47625"/>
    <xdr:pic>
      <xdr:nvPicPr>
        <xdr:cNvPr id="808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7235" y="10343029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0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47625</xdr:colOff>
      <xdr:row>305</xdr:row>
      <xdr:rowOff>47625</xdr:rowOff>
    </xdr:to>
    <xdr:pic>
      <xdr:nvPicPr>
        <xdr:cNvPr id="811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412</xdr:row>
      <xdr:rowOff>0</xdr:rowOff>
    </xdr:from>
    <xdr:to>
      <xdr:col>5</xdr:col>
      <xdr:colOff>47625</xdr:colOff>
      <xdr:row>412</xdr:row>
      <xdr:rowOff>47625</xdr:rowOff>
    </xdr:to>
    <xdr:pic>
      <xdr:nvPicPr>
        <xdr:cNvPr id="81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417</xdr:row>
      <xdr:rowOff>0</xdr:rowOff>
    </xdr:from>
    <xdr:to>
      <xdr:col>5</xdr:col>
      <xdr:colOff>47625</xdr:colOff>
      <xdr:row>417</xdr:row>
      <xdr:rowOff>47625</xdr:rowOff>
    </xdr:to>
    <xdr:pic>
      <xdr:nvPicPr>
        <xdr:cNvPr id="81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47625</xdr:colOff>
      <xdr:row>417</xdr:row>
      <xdr:rowOff>47625</xdr:rowOff>
    </xdr:to>
    <xdr:pic>
      <xdr:nvPicPr>
        <xdr:cNvPr id="81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418</xdr:row>
      <xdr:rowOff>0</xdr:rowOff>
    </xdr:from>
    <xdr:ext cx="47625" cy="47625"/>
    <xdr:pic>
      <xdr:nvPicPr>
        <xdr:cNvPr id="81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418</xdr:row>
      <xdr:rowOff>0</xdr:rowOff>
    </xdr:from>
    <xdr:ext cx="47625" cy="47625"/>
    <xdr:pic>
      <xdr:nvPicPr>
        <xdr:cNvPr id="81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32257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1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1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1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1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1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1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47625</xdr:colOff>
      <xdr:row>419</xdr:row>
      <xdr:rowOff>47625</xdr:rowOff>
    </xdr:to>
    <xdr:pic>
      <xdr:nvPicPr>
        <xdr:cNvPr id="828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2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7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3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2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4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4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6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5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47625</xdr:colOff>
      <xdr:row>420</xdr:row>
      <xdr:rowOff>47625</xdr:rowOff>
    </xdr:to>
    <xdr:pic>
      <xdr:nvPicPr>
        <xdr:cNvPr id="876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0</xdr:rowOff>
    </xdr:from>
    <xdr:to>
      <xdr:col>5</xdr:col>
      <xdr:colOff>47625</xdr:colOff>
      <xdr:row>422</xdr:row>
      <xdr:rowOff>47625</xdr:rowOff>
    </xdr:to>
    <xdr:pic>
      <xdr:nvPicPr>
        <xdr:cNvPr id="8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81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423</xdr:row>
      <xdr:rowOff>0</xdr:rowOff>
    </xdr:from>
    <xdr:to>
      <xdr:col>5</xdr:col>
      <xdr:colOff>47625</xdr:colOff>
      <xdr:row>423</xdr:row>
      <xdr:rowOff>47625</xdr:rowOff>
    </xdr:to>
    <xdr:pic>
      <xdr:nvPicPr>
        <xdr:cNvPr id="87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500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7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434</xdr:row>
      <xdr:rowOff>0</xdr:rowOff>
    </xdr:from>
    <xdr:to>
      <xdr:col>5</xdr:col>
      <xdr:colOff>47625</xdr:colOff>
      <xdr:row>434</xdr:row>
      <xdr:rowOff>47625</xdr:rowOff>
    </xdr:to>
    <xdr:pic>
      <xdr:nvPicPr>
        <xdr:cNvPr id="8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435</xdr:row>
      <xdr:rowOff>0</xdr:rowOff>
    </xdr:from>
    <xdr:ext cx="47625" cy="47625"/>
    <xdr:pic>
      <xdr:nvPicPr>
        <xdr:cNvPr id="88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42620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47625</xdr:colOff>
      <xdr:row>444</xdr:row>
      <xdr:rowOff>47625</xdr:rowOff>
    </xdr:to>
    <xdr:pic>
      <xdr:nvPicPr>
        <xdr:cNvPr id="88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8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7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89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0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1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1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2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5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2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456</xdr:row>
      <xdr:rowOff>0</xdr:rowOff>
    </xdr:from>
    <xdr:to>
      <xdr:col>6</xdr:col>
      <xdr:colOff>47625</xdr:colOff>
      <xdr:row>456</xdr:row>
      <xdr:rowOff>47625</xdr:rowOff>
    </xdr:to>
    <xdr:pic>
      <xdr:nvPicPr>
        <xdr:cNvPr id="932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90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47625</xdr:colOff>
      <xdr:row>462</xdr:row>
      <xdr:rowOff>47625</xdr:rowOff>
    </xdr:to>
    <xdr:pic>
      <xdr:nvPicPr>
        <xdr:cNvPr id="93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28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7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3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2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2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8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499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0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1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5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6" name="Рисунок 2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2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3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6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1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2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3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4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4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5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6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7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5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8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79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6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7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8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09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10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11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12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13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14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15" name="Picture 21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457</xdr:row>
      <xdr:rowOff>0</xdr:rowOff>
    </xdr:from>
    <xdr:ext cx="47625" cy="47625"/>
    <xdr:pic>
      <xdr:nvPicPr>
        <xdr:cNvPr id="9816" name="Picture 3" descr="http://oebsappala.air-astana.net:8000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25849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enstru.skc.kz/ru/ntru/detail/?kpved=61.20.11.10.00.00.0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nstru.skc.kz/ru/ntru/detail/?kpved=61.20.12.10.00.00.00" TargetMode="External"/><Relationship Id="rId1" Type="http://schemas.openxmlformats.org/officeDocument/2006/relationships/hyperlink" Target="http://enstru.skc.kz/ru/ntru/detail/?kpved=33.12.11.14.10.00.00" TargetMode="External"/><Relationship Id="rId6" Type="http://schemas.openxmlformats.org/officeDocument/2006/relationships/hyperlink" Target="http://enstru.skc.kz/ru/ntru/detail/?kpved=61.20.11.10.00.00.00" TargetMode="External"/><Relationship Id="rId5" Type="http://schemas.openxmlformats.org/officeDocument/2006/relationships/hyperlink" Target="http://enstru.skc.kz/ru/main.php" TargetMode="External"/><Relationship Id="rId4" Type="http://schemas.openxmlformats.org/officeDocument/2006/relationships/hyperlink" Target="http://enstru.skc.kz/ru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9"/>
  <sheetViews>
    <sheetView tabSelected="1" topLeftCell="R475" zoomScaleNormal="100" workbookViewId="0">
      <selection activeCell="V485" sqref="V485"/>
    </sheetView>
  </sheetViews>
  <sheetFormatPr defaultRowHeight="15" x14ac:dyDescent="0.25"/>
  <cols>
    <col min="2" max="2" width="5.85546875" customWidth="1"/>
    <col min="3" max="3" width="8.7109375" customWidth="1"/>
    <col min="4" max="4" width="17.7109375" style="12" customWidth="1"/>
    <col min="5" max="5" width="25.85546875" style="139" customWidth="1"/>
    <col min="6" max="6" width="31.140625" style="12" customWidth="1"/>
    <col min="7" max="7" width="28.42578125" style="12" customWidth="1"/>
    <col min="8" max="8" width="17.42578125" style="12" customWidth="1"/>
    <col min="9" max="9" width="14.140625" customWidth="1"/>
    <col min="10" max="10" width="14.42578125" customWidth="1"/>
    <col min="11" max="11" width="16.28515625" customWidth="1"/>
    <col min="12" max="12" width="14.28515625" customWidth="1"/>
    <col min="13" max="13" width="13" customWidth="1"/>
    <col min="14" max="14" width="10.85546875" customWidth="1"/>
    <col min="15" max="15" width="17" customWidth="1"/>
    <col min="16" max="20" width="17.42578125" customWidth="1"/>
    <col min="21" max="21" width="17.5703125" customWidth="1"/>
    <col min="22" max="22" width="21.42578125" customWidth="1"/>
    <col min="23" max="23" width="17.5703125" customWidth="1"/>
    <col min="24" max="24" width="16.7109375" customWidth="1"/>
    <col min="25" max="25" width="17.85546875" customWidth="1"/>
    <col min="26" max="26" width="18.7109375" customWidth="1"/>
    <col min="27" max="27" width="15.140625" customWidth="1"/>
    <col min="28" max="28" width="19.28515625" customWidth="1"/>
    <col min="29" max="29" width="18.140625" customWidth="1"/>
    <col min="30" max="30" width="17.5703125" style="12" customWidth="1"/>
    <col min="31" max="31" width="19.7109375" style="12" customWidth="1"/>
    <col min="32" max="32" width="17.5703125" style="12" customWidth="1"/>
    <col min="33" max="33" width="12.7109375" style="12" customWidth="1"/>
    <col min="34" max="34" width="8.85546875" customWidth="1"/>
    <col min="35" max="35" width="30.28515625" customWidth="1"/>
  </cols>
  <sheetData>
    <row r="1" spans="2:45" ht="15.75" thickBot="1" x14ac:dyDescent="0.3">
      <c r="B1" s="46"/>
      <c r="C1" s="46"/>
      <c r="D1" s="64"/>
      <c r="E1" s="137"/>
      <c r="F1" s="64"/>
      <c r="G1" s="64"/>
      <c r="H1" s="64"/>
      <c r="I1" s="64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243"/>
      <c r="AF1" s="243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</row>
    <row r="2" spans="2:45" ht="16.5" thickBot="1" x14ac:dyDescent="0.3">
      <c r="B2" s="46"/>
      <c r="C2" s="47"/>
      <c r="D2" s="48" t="s">
        <v>139</v>
      </c>
      <c r="E2" s="65"/>
      <c r="F2" s="49"/>
      <c r="G2" s="49"/>
      <c r="H2" s="66"/>
      <c r="I2" s="49"/>
      <c r="J2" s="50"/>
      <c r="K2" s="49"/>
      <c r="L2" s="49"/>
      <c r="M2" s="49"/>
      <c r="N2" s="49"/>
      <c r="O2" s="50"/>
      <c r="P2" s="51"/>
      <c r="Q2" s="47"/>
      <c r="R2" s="47"/>
      <c r="S2" s="47"/>
      <c r="T2" s="47"/>
      <c r="U2" s="47"/>
      <c r="V2" s="47"/>
      <c r="W2" s="51"/>
      <c r="X2" s="56"/>
      <c r="Y2" s="52"/>
      <c r="Z2" s="52"/>
      <c r="AA2" s="52"/>
      <c r="AB2" s="52"/>
      <c r="AC2" s="47"/>
      <c r="AD2" s="47"/>
      <c r="AE2" s="244"/>
      <c r="AF2" s="244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2:45" x14ac:dyDescent="0.25">
      <c r="B3" s="46"/>
      <c r="C3" s="47"/>
      <c r="D3" s="45"/>
      <c r="E3" s="45"/>
      <c r="F3" s="45"/>
      <c r="G3" s="61"/>
      <c r="H3" s="61"/>
      <c r="I3" s="6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56"/>
      <c r="Y3" s="52"/>
      <c r="Z3" s="52"/>
      <c r="AA3" s="52"/>
      <c r="AB3" s="52"/>
      <c r="AC3" s="51"/>
      <c r="AD3" s="51"/>
      <c r="AE3" s="245"/>
      <c r="AF3" s="245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</row>
    <row r="4" spans="2:45" x14ac:dyDescent="0.25">
      <c r="B4" s="46"/>
      <c r="C4" s="459" t="s">
        <v>166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51"/>
      <c r="AK4" s="51"/>
      <c r="AL4" s="51"/>
      <c r="AM4" s="51"/>
      <c r="AN4" s="51"/>
      <c r="AO4" s="51"/>
      <c r="AP4" s="51"/>
      <c r="AQ4" s="51"/>
      <c r="AR4" s="51"/>
      <c r="AS4" s="51"/>
    </row>
    <row r="5" spans="2:45" x14ac:dyDescent="0.25">
      <c r="B5" s="58" t="s">
        <v>164</v>
      </c>
      <c r="C5" s="59"/>
      <c r="D5" s="60"/>
      <c r="E5" s="67"/>
      <c r="F5" s="60"/>
      <c r="G5" s="7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72"/>
      <c r="V5" s="57"/>
      <c r="W5" s="57"/>
      <c r="X5" s="57"/>
      <c r="Y5" s="57" t="s">
        <v>982</v>
      </c>
      <c r="Z5" s="57"/>
      <c r="AA5" s="57"/>
      <c r="AB5" s="57"/>
      <c r="AC5" s="57"/>
      <c r="AD5" s="51"/>
      <c r="AE5" s="245"/>
      <c r="AF5" s="245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</row>
    <row r="6" spans="2:45" x14ac:dyDescent="0.25">
      <c r="B6" s="58" t="s">
        <v>1258</v>
      </c>
      <c r="C6" s="58"/>
      <c r="D6" s="58"/>
      <c r="E6" s="69"/>
      <c r="F6" s="70"/>
      <c r="G6" s="60"/>
      <c r="H6" s="68"/>
      <c r="I6" s="57"/>
      <c r="J6" s="57"/>
      <c r="K6" s="57"/>
      <c r="L6" s="57"/>
      <c r="M6" s="57"/>
      <c r="N6" s="57"/>
      <c r="O6" s="57"/>
      <c r="P6" s="57"/>
      <c r="Q6" s="57"/>
      <c r="R6" s="46"/>
      <c r="S6" s="46"/>
      <c r="T6" s="46"/>
      <c r="U6" s="46"/>
      <c r="V6" s="57"/>
      <c r="X6" s="57"/>
      <c r="Y6" s="57"/>
      <c r="Z6" s="459" t="s">
        <v>1599</v>
      </c>
      <c r="AA6" s="459"/>
      <c r="AB6" s="459"/>
      <c r="AC6" s="459"/>
      <c r="AD6" s="52"/>
      <c r="AE6" s="246"/>
      <c r="AF6" s="246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</row>
    <row r="7" spans="2:45" x14ac:dyDescent="0.25">
      <c r="B7" s="58"/>
      <c r="C7" s="59"/>
      <c r="D7" s="60"/>
      <c r="E7" s="67"/>
      <c r="F7" s="60"/>
      <c r="G7" s="70"/>
      <c r="H7" s="71"/>
      <c r="I7" s="57"/>
      <c r="J7" s="57"/>
      <c r="K7" s="57"/>
      <c r="L7" s="57"/>
      <c r="M7" s="57"/>
      <c r="N7" s="57"/>
      <c r="O7" s="57"/>
      <c r="P7" s="57"/>
      <c r="Q7" s="57"/>
      <c r="R7" s="46"/>
      <c r="S7" s="46"/>
      <c r="T7" s="46"/>
      <c r="U7" s="46"/>
      <c r="W7" s="63"/>
      <c r="Y7" s="63"/>
      <c r="Z7" s="460" t="s">
        <v>1600</v>
      </c>
      <c r="AA7" s="460"/>
      <c r="AB7" s="460"/>
      <c r="AC7" s="460"/>
      <c r="AD7" s="62"/>
      <c r="AE7" s="247"/>
      <c r="AF7" s="247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2:45" ht="15.75" thickBot="1" x14ac:dyDescent="0.3">
      <c r="B8" s="46"/>
      <c r="C8" s="46"/>
      <c r="D8" s="46"/>
      <c r="E8" s="138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243"/>
      <c r="AF8" s="243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pans="2:45" ht="34.5" customHeight="1" thickBot="1" x14ac:dyDescent="0.3">
      <c r="B9" s="461" t="s">
        <v>365</v>
      </c>
      <c r="C9" s="463" t="s">
        <v>140</v>
      </c>
      <c r="D9" s="465" t="s">
        <v>141</v>
      </c>
      <c r="E9" s="467" t="s">
        <v>142</v>
      </c>
      <c r="F9" s="461" t="s">
        <v>143</v>
      </c>
      <c r="G9" s="465" t="s">
        <v>144</v>
      </c>
      <c r="H9" s="467" t="s">
        <v>145</v>
      </c>
      <c r="I9" s="461" t="s">
        <v>146</v>
      </c>
      <c r="J9" s="461" t="s">
        <v>147</v>
      </c>
      <c r="K9" s="469" t="s">
        <v>148</v>
      </c>
      <c r="L9" s="469" t="s">
        <v>149</v>
      </c>
      <c r="M9" s="469" t="s">
        <v>150</v>
      </c>
      <c r="N9" s="469" t="s">
        <v>151</v>
      </c>
      <c r="O9" s="471" t="s">
        <v>152</v>
      </c>
      <c r="P9" s="472"/>
      <c r="Q9" s="472"/>
      <c r="R9" s="472"/>
      <c r="S9" s="472"/>
      <c r="T9" s="473"/>
      <c r="U9" s="469" t="s">
        <v>153</v>
      </c>
      <c r="V9" s="469" t="s">
        <v>154</v>
      </c>
      <c r="W9" s="477" t="s">
        <v>155</v>
      </c>
      <c r="X9" s="469" t="s">
        <v>156</v>
      </c>
      <c r="Y9" s="469" t="s">
        <v>157</v>
      </c>
      <c r="Z9" s="469" t="s">
        <v>158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2:45" ht="13.5" customHeight="1" thickBot="1" x14ac:dyDescent="0.3">
      <c r="B10" s="462"/>
      <c r="C10" s="464"/>
      <c r="D10" s="466"/>
      <c r="E10" s="468"/>
      <c r="F10" s="462"/>
      <c r="G10" s="466"/>
      <c r="H10" s="468"/>
      <c r="I10" s="462"/>
      <c r="J10" s="462"/>
      <c r="K10" s="470"/>
      <c r="L10" s="470"/>
      <c r="M10" s="470"/>
      <c r="N10" s="470"/>
      <c r="O10" s="11" t="s">
        <v>159</v>
      </c>
      <c r="P10" s="11" t="s">
        <v>160</v>
      </c>
      <c r="Q10" s="11" t="s">
        <v>161</v>
      </c>
      <c r="R10" s="11" t="s">
        <v>162</v>
      </c>
      <c r="S10" s="11" t="s">
        <v>163</v>
      </c>
      <c r="T10" s="11" t="s">
        <v>165</v>
      </c>
      <c r="U10" s="470"/>
      <c r="V10" s="470"/>
      <c r="W10" s="478"/>
      <c r="X10" s="470"/>
      <c r="Y10" s="470"/>
      <c r="Z10" s="470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2:45" ht="15.75" thickBot="1" x14ac:dyDescent="0.3">
      <c r="B11" s="53">
        <v>1</v>
      </c>
      <c r="C11" s="2">
        <v>2</v>
      </c>
      <c r="D11" s="9">
        <v>3</v>
      </c>
      <c r="E11" s="2">
        <v>4</v>
      </c>
      <c r="F11" s="2">
        <v>5</v>
      </c>
      <c r="G11" s="2">
        <v>6</v>
      </c>
      <c r="H11" s="10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474">
        <v>14</v>
      </c>
      <c r="P11" s="475"/>
      <c r="Q11" s="475"/>
      <c r="R11" s="475"/>
      <c r="S11" s="475"/>
      <c r="T11" s="476"/>
      <c r="U11" s="2">
        <v>15</v>
      </c>
      <c r="V11" s="2">
        <v>16</v>
      </c>
      <c r="W11" s="8">
        <v>17</v>
      </c>
      <c r="X11" s="2">
        <v>18</v>
      </c>
      <c r="Y11" s="2">
        <v>19</v>
      </c>
      <c r="Z11" s="2">
        <v>20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45" x14ac:dyDescent="0.25">
      <c r="B12" s="3" t="s">
        <v>0</v>
      </c>
      <c r="C12" s="4"/>
      <c r="D12" s="4"/>
      <c r="E12" s="3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4"/>
      <c r="U12" s="4"/>
      <c r="V12" s="4"/>
      <c r="W12" s="7"/>
      <c r="X12" s="5"/>
      <c r="Y12" s="5"/>
      <c r="Z12" s="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45" ht="43.9" customHeight="1" x14ac:dyDescent="0.25">
      <c r="B13" s="55" t="s">
        <v>1</v>
      </c>
      <c r="C13" s="19" t="s">
        <v>2</v>
      </c>
      <c r="D13" s="33" t="s">
        <v>1165</v>
      </c>
      <c r="E13" s="55" t="s">
        <v>1166</v>
      </c>
      <c r="F13" s="55" t="s">
        <v>1167</v>
      </c>
      <c r="G13" s="55" t="s">
        <v>7</v>
      </c>
      <c r="H13" s="37" t="s">
        <v>3</v>
      </c>
      <c r="I13" s="19">
        <v>0</v>
      </c>
      <c r="J13" s="55" t="s">
        <v>1015</v>
      </c>
      <c r="K13" s="55" t="s">
        <v>41</v>
      </c>
      <c r="L13" s="20" t="s">
        <v>4</v>
      </c>
      <c r="M13" s="21" t="s">
        <v>8</v>
      </c>
      <c r="N13" s="55" t="s">
        <v>35</v>
      </c>
      <c r="O13" s="207">
        <v>2</v>
      </c>
      <c r="P13" s="207">
        <v>2</v>
      </c>
      <c r="Q13" s="207">
        <v>2</v>
      </c>
      <c r="R13" s="28"/>
      <c r="S13" s="28"/>
      <c r="T13" s="28"/>
      <c r="U13" s="353">
        <v>27846975</v>
      </c>
      <c r="V13" s="16">
        <v>167081850</v>
      </c>
      <c r="W13" s="16">
        <f>V13*1.12</f>
        <v>187131672.00000003</v>
      </c>
      <c r="X13" s="19"/>
      <c r="Y13" s="17">
        <v>2012</v>
      </c>
      <c r="Z13" s="55"/>
      <c r="AD13"/>
      <c r="AE13"/>
      <c r="AF13"/>
      <c r="AG13"/>
    </row>
    <row r="14" spans="2:45" ht="43.9" customHeight="1" x14ac:dyDescent="0.25">
      <c r="B14" s="55" t="s">
        <v>5</v>
      </c>
      <c r="C14" s="19" t="s">
        <v>2</v>
      </c>
      <c r="D14" s="112" t="s">
        <v>10</v>
      </c>
      <c r="E14" s="19" t="s">
        <v>11</v>
      </c>
      <c r="F14" s="19" t="s">
        <v>12</v>
      </c>
      <c r="G14" s="13" t="s">
        <v>13</v>
      </c>
      <c r="H14" s="40" t="s">
        <v>3</v>
      </c>
      <c r="I14" s="19">
        <v>0</v>
      </c>
      <c r="J14" s="99" t="s">
        <v>96</v>
      </c>
      <c r="K14" s="55" t="s">
        <v>14</v>
      </c>
      <c r="L14" s="20" t="s">
        <v>4</v>
      </c>
      <c r="M14" s="55" t="s">
        <v>15</v>
      </c>
      <c r="N14" s="55" t="s">
        <v>28</v>
      </c>
      <c r="O14" s="19">
        <v>60</v>
      </c>
      <c r="P14" s="19">
        <v>60</v>
      </c>
      <c r="Q14" s="19"/>
      <c r="R14" s="19"/>
      <c r="S14" s="19"/>
      <c r="T14" s="19"/>
      <c r="U14" s="16">
        <v>9405000</v>
      </c>
      <c r="V14" s="16">
        <v>1128600000</v>
      </c>
      <c r="W14" s="16">
        <f t="shared" ref="W14:W24" si="0">V14*1.12</f>
        <v>1264032000.0000002</v>
      </c>
      <c r="X14" s="19"/>
      <c r="Y14" s="17">
        <v>2012</v>
      </c>
      <c r="Z14" s="55"/>
      <c r="AD14"/>
      <c r="AE14"/>
      <c r="AF14"/>
      <c r="AG14"/>
    </row>
    <row r="15" spans="2:45" ht="43.9" customHeight="1" x14ac:dyDescent="0.25">
      <c r="B15" s="55" t="s">
        <v>6</v>
      </c>
      <c r="C15" s="19" t="s">
        <v>2</v>
      </c>
      <c r="D15" s="112" t="s">
        <v>10</v>
      </c>
      <c r="E15" s="19" t="s">
        <v>11</v>
      </c>
      <c r="F15" s="19" t="s">
        <v>12</v>
      </c>
      <c r="G15" s="13" t="s">
        <v>17</v>
      </c>
      <c r="H15" s="40" t="s">
        <v>3</v>
      </c>
      <c r="I15" s="19">
        <v>0</v>
      </c>
      <c r="J15" s="99" t="s">
        <v>96</v>
      </c>
      <c r="K15" s="55" t="s">
        <v>14</v>
      </c>
      <c r="L15" s="20" t="s">
        <v>4</v>
      </c>
      <c r="M15" s="55" t="s">
        <v>15</v>
      </c>
      <c r="N15" s="55" t="s">
        <v>28</v>
      </c>
      <c r="O15" s="19">
        <v>386</v>
      </c>
      <c r="P15" s="19">
        <v>386</v>
      </c>
      <c r="Q15" s="19"/>
      <c r="R15" s="19"/>
      <c r="S15" s="19"/>
      <c r="T15" s="19"/>
      <c r="U15" s="16">
        <v>923316</v>
      </c>
      <c r="V15" s="16">
        <v>712800000</v>
      </c>
      <c r="W15" s="16">
        <f t="shared" si="0"/>
        <v>798336000.00000012</v>
      </c>
      <c r="X15" s="19"/>
      <c r="Y15" s="17">
        <v>2012</v>
      </c>
      <c r="Z15" s="55"/>
      <c r="AD15"/>
      <c r="AE15"/>
      <c r="AF15"/>
      <c r="AG15"/>
    </row>
    <row r="16" spans="2:45" ht="43.9" customHeight="1" x14ac:dyDescent="0.25">
      <c r="B16" s="55" t="s">
        <v>9</v>
      </c>
      <c r="C16" s="19" t="s">
        <v>2</v>
      </c>
      <c r="D16" s="113" t="s">
        <v>19</v>
      </c>
      <c r="E16" s="114" t="s">
        <v>20</v>
      </c>
      <c r="F16" s="114" t="s">
        <v>21</v>
      </c>
      <c r="G16" s="55" t="s">
        <v>22</v>
      </c>
      <c r="H16" s="40" t="s">
        <v>3</v>
      </c>
      <c r="I16" s="19">
        <v>0</v>
      </c>
      <c r="J16" s="99" t="s">
        <v>96</v>
      </c>
      <c r="K16" s="55" t="s">
        <v>14</v>
      </c>
      <c r="L16" s="20" t="s">
        <v>4</v>
      </c>
      <c r="M16" s="55" t="s">
        <v>15</v>
      </c>
      <c r="N16" s="55" t="s">
        <v>28</v>
      </c>
      <c r="O16" s="19">
        <v>3</v>
      </c>
      <c r="P16" s="19">
        <v>1</v>
      </c>
      <c r="Q16" s="19"/>
      <c r="R16" s="19"/>
      <c r="S16" s="19"/>
      <c r="T16" s="19"/>
      <c r="U16" s="16">
        <v>237600000</v>
      </c>
      <c r="V16" s="16">
        <v>950400000</v>
      </c>
      <c r="W16" s="16">
        <f t="shared" si="0"/>
        <v>1064448000.0000001</v>
      </c>
      <c r="X16" s="19"/>
      <c r="Y16" s="17">
        <v>2012</v>
      </c>
      <c r="Z16" s="55"/>
      <c r="AD16"/>
      <c r="AE16"/>
      <c r="AF16"/>
      <c r="AG16"/>
    </row>
    <row r="17" spans="2:33" ht="43.9" customHeight="1" x14ac:dyDescent="0.25">
      <c r="B17" s="55" t="s">
        <v>16</v>
      </c>
      <c r="C17" s="19" t="s">
        <v>2</v>
      </c>
      <c r="D17" s="38" t="s">
        <v>24</v>
      </c>
      <c r="E17" s="34" t="s">
        <v>25</v>
      </c>
      <c r="F17" s="34" t="s">
        <v>12</v>
      </c>
      <c r="G17" s="19" t="s">
        <v>26</v>
      </c>
      <c r="H17" s="40" t="s">
        <v>3</v>
      </c>
      <c r="I17" s="19">
        <v>0</v>
      </c>
      <c r="J17" s="18" t="s">
        <v>1016</v>
      </c>
      <c r="K17" s="55" t="s">
        <v>41</v>
      </c>
      <c r="L17" s="15" t="s">
        <v>4</v>
      </c>
      <c r="M17" s="21" t="s">
        <v>27</v>
      </c>
      <c r="N17" s="18" t="s">
        <v>28</v>
      </c>
      <c r="O17" s="19">
        <v>6</v>
      </c>
      <c r="P17" s="19"/>
      <c r="Q17" s="19"/>
      <c r="R17" s="19"/>
      <c r="S17" s="19"/>
      <c r="T17" s="19"/>
      <c r="U17" s="16">
        <v>4500000</v>
      </c>
      <c r="V17" s="16">
        <v>27000000</v>
      </c>
      <c r="W17" s="16">
        <f t="shared" si="0"/>
        <v>30240000.000000004</v>
      </c>
      <c r="X17" s="19"/>
      <c r="Y17" s="17">
        <v>2012</v>
      </c>
      <c r="Z17" s="19"/>
      <c r="AD17"/>
      <c r="AE17"/>
      <c r="AF17"/>
      <c r="AG17"/>
    </row>
    <row r="18" spans="2:33" ht="43.9" customHeight="1" x14ac:dyDescent="0.25">
      <c r="B18" s="55" t="s">
        <v>18</v>
      </c>
      <c r="C18" s="19" t="s">
        <v>2</v>
      </c>
      <c r="D18" s="115" t="s">
        <v>30</v>
      </c>
      <c r="E18" s="116" t="s">
        <v>31</v>
      </c>
      <c r="F18" s="116" t="s">
        <v>32</v>
      </c>
      <c r="G18" s="116" t="s">
        <v>33</v>
      </c>
      <c r="H18" s="40" t="s">
        <v>3</v>
      </c>
      <c r="I18" s="19">
        <v>0</v>
      </c>
      <c r="J18" s="55" t="s">
        <v>1016</v>
      </c>
      <c r="K18" s="55" t="s">
        <v>41</v>
      </c>
      <c r="L18" s="20" t="s">
        <v>4</v>
      </c>
      <c r="M18" s="55" t="s">
        <v>34</v>
      </c>
      <c r="N18" s="126" t="s">
        <v>35</v>
      </c>
      <c r="O18" s="19">
        <v>2</v>
      </c>
      <c r="P18" s="19">
        <v>2</v>
      </c>
      <c r="Q18" s="19"/>
      <c r="R18" s="19"/>
      <c r="S18" s="19"/>
      <c r="T18" s="19"/>
      <c r="U18" s="16">
        <v>36000000</v>
      </c>
      <c r="V18" s="16">
        <v>144000000</v>
      </c>
      <c r="W18" s="16">
        <f t="shared" si="0"/>
        <v>161280000.00000003</v>
      </c>
      <c r="X18" s="19"/>
      <c r="Y18" s="17">
        <v>2012</v>
      </c>
      <c r="Z18" s="55"/>
      <c r="AD18"/>
      <c r="AE18"/>
      <c r="AF18"/>
      <c r="AG18"/>
    </row>
    <row r="19" spans="2:33" ht="43.9" customHeight="1" x14ac:dyDescent="0.25">
      <c r="B19" s="55" t="s">
        <v>23</v>
      </c>
      <c r="C19" s="19" t="s">
        <v>2</v>
      </c>
      <c r="D19" s="36" t="s">
        <v>37</v>
      </c>
      <c r="E19" s="14" t="s">
        <v>38</v>
      </c>
      <c r="F19" s="15" t="s">
        <v>39</v>
      </c>
      <c r="G19" s="22" t="s">
        <v>40</v>
      </c>
      <c r="H19" s="40" t="s">
        <v>3</v>
      </c>
      <c r="I19" s="19">
        <v>0</v>
      </c>
      <c r="J19" s="18" t="s">
        <v>1017</v>
      </c>
      <c r="K19" s="18" t="s">
        <v>41</v>
      </c>
      <c r="L19" s="15" t="s">
        <v>4</v>
      </c>
      <c r="M19" s="23" t="s">
        <v>42</v>
      </c>
      <c r="N19" s="55" t="s">
        <v>28</v>
      </c>
      <c r="O19" s="19">
        <v>1</v>
      </c>
      <c r="P19" s="19"/>
      <c r="Q19" s="19"/>
      <c r="R19" s="19"/>
      <c r="S19" s="19"/>
      <c r="T19" s="19"/>
      <c r="U19" s="16">
        <v>833610000</v>
      </c>
      <c r="V19" s="16">
        <v>833610000</v>
      </c>
      <c r="W19" s="16">
        <f t="shared" si="0"/>
        <v>933643200.00000012</v>
      </c>
      <c r="X19" s="19"/>
      <c r="Y19" s="17">
        <v>2012</v>
      </c>
      <c r="Z19" s="19"/>
      <c r="AD19"/>
      <c r="AE19"/>
      <c r="AF19"/>
      <c r="AG19"/>
    </row>
    <row r="20" spans="2:33" ht="43.9" customHeight="1" x14ac:dyDescent="0.25">
      <c r="B20" s="55" t="s">
        <v>29</v>
      </c>
      <c r="C20" s="19" t="s">
        <v>2</v>
      </c>
      <c r="D20" s="33" t="s">
        <v>44</v>
      </c>
      <c r="E20" s="19" t="s">
        <v>45</v>
      </c>
      <c r="F20" s="19" t="s">
        <v>46</v>
      </c>
      <c r="G20" s="117" t="s">
        <v>47</v>
      </c>
      <c r="H20" s="40" t="s">
        <v>3</v>
      </c>
      <c r="I20" s="19">
        <v>0</v>
      </c>
      <c r="J20" s="55" t="s">
        <v>1018</v>
      </c>
      <c r="K20" s="55" t="s">
        <v>48</v>
      </c>
      <c r="L20" s="20" t="s">
        <v>4</v>
      </c>
      <c r="M20" s="55" t="s">
        <v>49</v>
      </c>
      <c r="N20" s="55" t="s">
        <v>28</v>
      </c>
      <c r="O20" s="19">
        <v>0</v>
      </c>
      <c r="P20" s="19">
        <v>3</v>
      </c>
      <c r="Q20" s="19"/>
      <c r="R20" s="19"/>
      <c r="S20" s="19"/>
      <c r="T20" s="19"/>
      <c r="U20" s="16">
        <v>51500000</v>
      </c>
      <c r="V20" s="16">
        <v>154500000</v>
      </c>
      <c r="W20" s="16">
        <f t="shared" si="0"/>
        <v>173040000.00000003</v>
      </c>
      <c r="X20" s="19"/>
      <c r="Y20" s="17">
        <v>2012</v>
      </c>
      <c r="Z20" s="117"/>
      <c r="AD20"/>
      <c r="AE20"/>
      <c r="AF20"/>
      <c r="AG20"/>
    </row>
    <row r="21" spans="2:33" ht="43.9" customHeight="1" x14ac:dyDescent="0.25">
      <c r="B21" s="55" t="s">
        <v>36</v>
      </c>
      <c r="C21" s="19" t="s">
        <v>2</v>
      </c>
      <c r="D21" s="33" t="s">
        <v>51</v>
      </c>
      <c r="E21" s="24" t="s">
        <v>52</v>
      </c>
      <c r="F21" s="24" t="s">
        <v>988</v>
      </c>
      <c r="G21" s="18" t="s">
        <v>53</v>
      </c>
      <c r="H21" s="40" t="s">
        <v>3</v>
      </c>
      <c r="I21" s="19">
        <v>0</v>
      </c>
      <c r="J21" s="18" t="s">
        <v>1019</v>
      </c>
      <c r="K21" s="55" t="s">
        <v>41</v>
      </c>
      <c r="L21" s="15" t="s">
        <v>4</v>
      </c>
      <c r="M21" s="18" t="s">
        <v>49</v>
      </c>
      <c r="N21" s="55" t="s">
        <v>28</v>
      </c>
      <c r="O21" s="19">
        <v>6</v>
      </c>
      <c r="P21" s="19">
        <v>3</v>
      </c>
      <c r="Q21" s="19"/>
      <c r="R21" s="19"/>
      <c r="S21" s="19"/>
      <c r="T21" s="19"/>
      <c r="U21" s="16">
        <v>33333333.333333332</v>
      </c>
      <c r="V21" s="16">
        <v>300000000</v>
      </c>
      <c r="W21" s="16">
        <f t="shared" si="0"/>
        <v>336000000.00000006</v>
      </c>
      <c r="X21" s="19"/>
      <c r="Y21" s="17">
        <v>2012</v>
      </c>
      <c r="Z21" s="19"/>
      <c r="AD21"/>
      <c r="AE21"/>
      <c r="AF21"/>
      <c r="AG21"/>
    </row>
    <row r="22" spans="2:33" ht="43.9" customHeight="1" x14ac:dyDescent="0.25">
      <c r="B22" s="55" t="s">
        <v>43</v>
      </c>
      <c r="C22" s="19" t="s">
        <v>2</v>
      </c>
      <c r="D22" s="33" t="s">
        <v>55</v>
      </c>
      <c r="E22" s="24" t="s">
        <v>56</v>
      </c>
      <c r="F22" s="24" t="s">
        <v>989</v>
      </c>
      <c r="G22" s="18" t="s">
        <v>57</v>
      </c>
      <c r="H22" s="40" t="s">
        <v>3</v>
      </c>
      <c r="I22" s="19">
        <v>0</v>
      </c>
      <c r="J22" s="18" t="s">
        <v>1019</v>
      </c>
      <c r="K22" s="55" t="s">
        <v>41</v>
      </c>
      <c r="L22" s="15" t="s">
        <v>4</v>
      </c>
      <c r="M22" s="18" t="s">
        <v>58</v>
      </c>
      <c r="N22" s="13" t="s">
        <v>35</v>
      </c>
      <c r="O22" s="19">
        <v>4</v>
      </c>
      <c r="P22" s="19"/>
      <c r="Q22" s="19"/>
      <c r="R22" s="19"/>
      <c r="S22" s="19"/>
      <c r="T22" s="19"/>
      <c r="U22" s="16">
        <v>22000000</v>
      </c>
      <c r="V22" s="16">
        <v>88000000</v>
      </c>
      <c r="W22" s="16">
        <f t="shared" si="0"/>
        <v>98560000.000000015</v>
      </c>
      <c r="X22" s="19"/>
      <c r="Y22" s="17">
        <v>2012</v>
      </c>
      <c r="Z22" s="19"/>
      <c r="AD22"/>
      <c r="AE22"/>
      <c r="AF22"/>
      <c r="AG22"/>
    </row>
    <row r="23" spans="2:33" ht="43.9" customHeight="1" x14ac:dyDescent="0.25">
      <c r="B23" s="55" t="s">
        <v>50</v>
      </c>
      <c r="C23" s="19" t="s">
        <v>2</v>
      </c>
      <c r="D23" s="39" t="s">
        <v>60</v>
      </c>
      <c r="E23" s="30" t="s">
        <v>61</v>
      </c>
      <c r="F23" s="30" t="s">
        <v>62</v>
      </c>
      <c r="G23" s="29" t="s">
        <v>63</v>
      </c>
      <c r="H23" s="40" t="s">
        <v>3</v>
      </c>
      <c r="I23" s="19">
        <v>0</v>
      </c>
      <c r="J23" s="18" t="s">
        <v>1019</v>
      </c>
      <c r="K23" s="55" t="s">
        <v>41</v>
      </c>
      <c r="L23" s="20" t="s">
        <v>4</v>
      </c>
      <c r="M23" s="18" t="s">
        <v>58</v>
      </c>
      <c r="N23" s="31" t="s">
        <v>64</v>
      </c>
      <c r="O23" s="19">
        <v>500</v>
      </c>
      <c r="P23" s="19"/>
      <c r="Q23" s="19"/>
      <c r="R23" s="19"/>
      <c r="S23" s="19"/>
      <c r="T23" s="35"/>
      <c r="U23" s="43">
        <v>16560</v>
      </c>
      <c r="V23" s="43">
        <v>8280000</v>
      </c>
      <c r="W23" s="16">
        <f t="shared" si="0"/>
        <v>9273600</v>
      </c>
      <c r="X23" s="19"/>
      <c r="Y23" s="17">
        <v>2012</v>
      </c>
      <c r="Z23" s="19"/>
      <c r="AD23"/>
      <c r="AE23"/>
      <c r="AF23"/>
      <c r="AG23"/>
    </row>
    <row r="24" spans="2:33" ht="43.9" customHeight="1" x14ac:dyDescent="0.25">
      <c r="B24" s="55" t="s">
        <v>54</v>
      </c>
      <c r="C24" s="19" t="s">
        <v>2</v>
      </c>
      <c r="D24" s="39" t="s">
        <v>66</v>
      </c>
      <c r="E24" s="30" t="s">
        <v>990</v>
      </c>
      <c r="F24" s="29" t="s">
        <v>991</v>
      </c>
      <c r="G24" s="29" t="s">
        <v>67</v>
      </c>
      <c r="H24" s="40" t="s">
        <v>3</v>
      </c>
      <c r="I24" s="19">
        <v>0</v>
      </c>
      <c r="J24" s="18" t="s">
        <v>1020</v>
      </c>
      <c r="K24" s="29" t="s">
        <v>68</v>
      </c>
      <c r="L24" s="20" t="s">
        <v>4</v>
      </c>
      <c r="M24" s="18" t="s">
        <v>58</v>
      </c>
      <c r="N24" s="31" t="s">
        <v>64</v>
      </c>
      <c r="O24" s="19">
        <v>1000</v>
      </c>
      <c r="P24" s="19"/>
      <c r="Q24" s="19"/>
      <c r="R24" s="19"/>
      <c r="S24" s="19"/>
      <c r="T24" s="19"/>
      <c r="U24" s="16">
        <v>10570</v>
      </c>
      <c r="V24" s="16">
        <v>10570000</v>
      </c>
      <c r="W24" s="16">
        <f t="shared" si="0"/>
        <v>11838400.000000002</v>
      </c>
      <c r="X24" s="19"/>
      <c r="Y24" s="17">
        <v>2012</v>
      </c>
      <c r="Z24" s="19"/>
      <c r="AD24"/>
      <c r="AE24"/>
      <c r="AF24"/>
      <c r="AG24"/>
    </row>
    <row r="25" spans="2:33" ht="43.9" customHeight="1" x14ac:dyDescent="0.25">
      <c r="B25" s="55" t="s">
        <v>59</v>
      </c>
      <c r="C25" s="19" t="s">
        <v>2</v>
      </c>
      <c r="D25" s="33" t="s">
        <v>1165</v>
      </c>
      <c r="E25" s="55" t="s">
        <v>1166</v>
      </c>
      <c r="F25" s="55" t="s">
        <v>1167</v>
      </c>
      <c r="G25" s="20" t="s">
        <v>70</v>
      </c>
      <c r="H25" s="40" t="s">
        <v>3</v>
      </c>
      <c r="I25" s="19">
        <v>0</v>
      </c>
      <c r="J25" s="55" t="s">
        <v>1021</v>
      </c>
      <c r="K25" s="20" t="s">
        <v>14</v>
      </c>
      <c r="L25" s="20" t="s">
        <v>4</v>
      </c>
      <c r="M25" s="20" t="s">
        <v>71</v>
      </c>
      <c r="N25" s="55" t="s">
        <v>35</v>
      </c>
      <c r="O25" s="207">
        <v>1</v>
      </c>
      <c r="P25" s="207">
        <v>2</v>
      </c>
      <c r="Q25" s="207">
        <v>1</v>
      </c>
      <c r="R25" s="207"/>
      <c r="S25" s="207"/>
      <c r="T25" s="207"/>
      <c r="U25" s="353">
        <v>30146880</v>
      </c>
      <c r="V25" s="27">
        <v>120587520</v>
      </c>
      <c r="W25" s="16">
        <f>V25*1.12</f>
        <v>135058022.40000001</v>
      </c>
      <c r="X25" s="19"/>
      <c r="Y25" s="17">
        <v>2012</v>
      </c>
      <c r="Z25" s="19"/>
      <c r="AD25"/>
      <c r="AE25"/>
      <c r="AF25"/>
      <c r="AG25"/>
    </row>
    <row r="26" spans="2:33" ht="43.9" customHeight="1" x14ac:dyDescent="0.25">
      <c r="B26" s="55" t="s">
        <v>65</v>
      </c>
      <c r="C26" s="19" t="s">
        <v>2</v>
      </c>
      <c r="D26" s="33" t="s">
        <v>1165</v>
      </c>
      <c r="E26" s="55" t="s">
        <v>1166</v>
      </c>
      <c r="F26" s="55" t="s">
        <v>1167</v>
      </c>
      <c r="G26" s="20" t="s">
        <v>73</v>
      </c>
      <c r="H26" s="40" t="s">
        <v>3</v>
      </c>
      <c r="I26" s="19">
        <v>0</v>
      </c>
      <c r="J26" s="55" t="s">
        <v>1021</v>
      </c>
      <c r="K26" s="20" t="s">
        <v>14</v>
      </c>
      <c r="L26" s="20" t="s">
        <v>4</v>
      </c>
      <c r="M26" s="20" t="s">
        <v>71</v>
      </c>
      <c r="N26" s="55" t="s">
        <v>35</v>
      </c>
      <c r="O26" s="207">
        <v>1</v>
      </c>
      <c r="P26" s="207">
        <v>2</v>
      </c>
      <c r="Q26" s="207">
        <v>2</v>
      </c>
      <c r="R26" s="207"/>
      <c r="S26" s="207"/>
      <c r="T26" s="207"/>
      <c r="U26" s="353">
        <v>37683600</v>
      </c>
      <c r="V26" s="27">
        <v>188418000</v>
      </c>
      <c r="W26" s="16">
        <f t="shared" ref="W26:W31" si="1">V26*1.12</f>
        <v>211028160.00000003</v>
      </c>
      <c r="X26" s="19"/>
      <c r="Y26" s="17">
        <v>2012</v>
      </c>
      <c r="Z26" s="19"/>
      <c r="AD26"/>
      <c r="AE26"/>
      <c r="AF26"/>
      <c r="AG26"/>
    </row>
    <row r="27" spans="2:33" ht="43.9" customHeight="1" x14ac:dyDescent="0.25">
      <c r="B27" s="55" t="s">
        <v>69</v>
      </c>
      <c r="C27" s="19" t="s">
        <v>2</v>
      </c>
      <c r="D27" s="33" t="s">
        <v>1165</v>
      </c>
      <c r="E27" s="55" t="s">
        <v>1166</v>
      </c>
      <c r="F27" s="55" t="s">
        <v>1167</v>
      </c>
      <c r="G27" s="19" t="s">
        <v>75</v>
      </c>
      <c r="H27" s="40" t="s">
        <v>3</v>
      </c>
      <c r="I27" s="19">
        <v>0</v>
      </c>
      <c r="J27" s="55" t="s">
        <v>1021</v>
      </c>
      <c r="K27" s="20" t="s">
        <v>14</v>
      </c>
      <c r="L27" s="20" t="s">
        <v>4</v>
      </c>
      <c r="M27" s="20" t="s">
        <v>71</v>
      </c>
      <c r="N27" s="55" t="s">
        <v>35</v>
      </c>
      <c r="O27" s="207">
        <v>4</v>
      </c>
      <c r="P27" s="207">
        <v>4</v>
      </c>
      <c r="Q27" s="207">
        <v>5</v>
      </c>
      <c r="R27" s="207"/>
      <c r="S27" s="207"/>
      <c r="T27" s="207"/>
      <c r="U27" s="353">
        <v>7767574.615384615</v>
      </c>
      <c r="V27" s="27">
        <v>100978470</v>
      </c>
      <c r="W27" s="16">
        <f t="shared" si="1"/>
        <v>113095886.40000001</v>
      </c>
      <c r="X27" s="19"/>
      <c r="Y27" s="17">
        <v>2012</v>
      </c>
      <c r="Z27" s="19"/>
      <c r="AD27"/>
      <c r="AE27"/>
      <c r="AF27"/>
      <c r="AG27"/>
    </row>
    <row r="28" spans="2:33" ht="43.9" customHeight="1" x14ac:dyDescent="0.25">
      <c r="B28" s="55" t="s">
        <v>72</v>
      </c>
      <c r="C28" s="19" t="s">
        <v>2</v>
      </c>
      <c r="D28" s="33" t="s">
        <v>1165</v>
      </c>
      <c r="E28" s="55" t="s">
        <v>1166</v>
      </c>
      <c r="F28" s="55" t="s">
        <v>1167</v>
      </c>
      <c r="G28" s="19" t="s">
        <v>77</v>
      </c>
      <c r="H28" s="40" t="s">
        <v>3</v>
      </c>
      <c r="I28" s="19">
        <v>0</v>
      </c>
      <c r="J28" s="55" t="s">
        <v>1021</v>
      </c>
      <c r="K28" s="20" t="s">
        <v>14</v>
      </c>
      <c r="L28" s="20" t="s">
        <v>4</v>
      </c>
      <c r="M28" s="20" t="s">
        <v>71</v>
      </c>
      <c r="N28" s="55" t="s">
        <v>35</v>
      </c>
      <c r="O28" s="207">
        <v>4</v>
      </c>
      <c r="P28" s="207">
        <v>4</v>
      </c>
      <c r="Q28" s="207">
        <v>4</v>
      </c>
      <c r="R28" s="207"/>
      <c r="S28" s="207"/>
      <c r="T28" s="207"/>
      <c r="U28" s="353">
        <v>69939306.75</v>
      </c>
      <c r="V28" s="27">
        <v>839271681</v>
      </c>
      <c r="W28" s="16">
        <f t="shared" si="1"/>
        <v>939984282.72000015</v>
      </c>
      <c r="X28" s="19"/>
      <c r="Y28" s="17">
        <v>2012</v>
      </c>
      <c r="Z28" s="19"/>
      <c r="AD28"/>
      <c r="AE28"/>
      <c r="AF28"/>
      <c r="AG28"/>
    </row>
    <row r="29" spans="2:33" ht="43.9" customHeight="1" x14ac:dyDescent="0.25">
      <c r="B29" s="55" t="s">
        <v>74</v>
      </c>
      <c r="C29" s="19" t="s">
        <v>2</v>
      </c>
      <c r="D29" s="33" t="s">
        <v>1165</v>
      </c>
      <c r="E29" s="55" t="s">
        <v>1166</v>
      </c>
      <c r="F29" s="55" t="s">
        <v>1167</v>
      </c>
      <c r="G29" s="19" t="s">
        <v>79</v>
      </c>
      <c r="H29" s="40" t="s">
        <v>3</v>
      </c>
      <c r="I29" s="19">
        <v>0</v>
      </c>
      <c r="J29" s="55" t="s">
        <v>1021</v>
      </c>
      <c r="K29" s="20" t="s">
        <v>14</v>
      </c>
      <c r="L29" s="20" t="s">
        <v>4</v>
      </c>
      <c r="M29" s="20" t="s">
        <v>71</v>
      </c>
      <c r="N29" s="55" t="s">
        <v>35</v>
      </c>
      <c r="O29" s="207">
        <v>11</v>
      </c>
      <c r="P29" s="207">
        <v>11</v>
      </c>
      <c r="Q29" s="207">
        <v>12</v>
      </c>
      <c r="R29" s="207"/>
      <c r="S29" s="207"/>
      <c r="T29" s="207"/>
      <c r="U29" s="353">
        <v>87103161.794117644</v>
      </c>
      <c r="V29" s="27">
        <v>2961507501</v>
      </c>
      <c r="W29" s="16">
        <f t="shared" si="1"/>
        <v>3316888401.1200004</v>
      </c>
      <c r="X29" s="19"/>
      <c r="Y29" s="17">
        <v>2012</v>
      </c>
      <c r="Z29" s="19"/>
      <c r="AD29"/>
      <c r="AE29"/>
      <c r="AF29"/>
      <c r="AG29"/>
    </row>
    <row r="30" spans="2:33" ht="43.9" customHeight="1" x14ac:dyDescent="0.25">
      <c r="B30" s="55" t="s">
        <v>76</v>
      </c>
      <c r="C30" s="19" t="s">
        <v>2</v>
      </c>
      <c r="D30" s="33" t="s">
        <v>1165</v>
      </c>
      <c r="E30" s="55" t="s">
        <v>1166</v>
      </c>
      <c r="F30" s="55" t="s">
        <v>1167</v>
      </c>
      <c r="G30" s="19" t="s">
        <v>81</v>
      </c>
      <c r="H30" s="40" t="s">
        <v>3</v>
      </c>
      <c r="I30" s="19">
        <v>0</v>
      </c>
      <c r="J30" s="55" t="s">
        <v>1021</v>
      </c>
      <c r="K30" s="20" t="s">
        <v>14</v>
      </c>
      <c r="L30" s="20" t="s">
        <v>4</v>
      </c>
      <c r="M30" s="20" t="s">
        <v>71</v>
      </c>
      <c r="N30" s="55" t="s">
        <v>35</v>
      </c>
      <c r="O30" s="207">
        <v>11</v>
      </c>
      <c r="P30" s="207">
        <v>11</v>
      </c>
      <c r="Q30" s="207">
        <v>12</v>
      </c>
      <c r="R30" s="207"/>
      <c r="S30" s="207"/>
      <c r="T30" s="207"/>
      <c r="U30" s="353">
        <v>12832176.44117647</v>
      </c>
      <c r="V30" s="27">
        <v>436293999</v>
      </c>
      <c r="W30" s="16">
        <f t="shared" si="1"/>
        <v>488649278.88000005</v>
      </c>
      <c r="X30" s="19"/>
      <c r="Y30" s="17">
        <v>2012</v>
      </c>
      <c r="Z30" s="19"/>
      <c r="AD30"/>
      <c r="AE30"/>
      <c r="AF30"/>
      <c r="AG30"/>
    </row>
    <row r="31" spans="2:33" ht="43.9" customHeight="1" x14ac:dyDescent="0.25">
      <c r="B31" s="55" t="s">
        <v>78</v>
      </c>
      <c r="C31" s="19" t="s">
        <v>2</v>
      </c>
      <c r="D31" s="33" t="s">
        <v>1165</v>
      </c>
      <c r="E31" s="55" t="s">
        <v>1166</v>
      </c>
      <c r="F31" s="55" t="s">
        <v>1167</v>
      </c>
      <c r="G31" s="19" t="s">
        <v>83</v>
      </c>
      <c r="H31" s="40" t="s">
        <v>3</v>
      </c>
      <c r="I31" s="19">
        <v>0</v>
      </c>
      <c r="J31" s="55" t="s">
        <v>1021</v>
      </c>
      <c r="K31" s="20" t="s">
        <v>14</v>
      </c>
      <c r="L31" s="20" t="s">
        <v>4</v>
      </c>
      <c r="M31" s="20" t="s">
        <v>71</v>
      </c>
      <c r="N31" s="55" t="s">
        <v>35</v>
      </c>
      <c r="O31" s="207">
        <v>11</v>
      </c>
      <c r="P31" s="207">
        <v>11</v>
      </c>
      <c r="Q31" s="207">
        <v>12</v>
      </c>
      <c r="R31" s="207"/>
      <c r="S31" s="207"/>
      <c r="T31" s="207"/>
      <c r="U31" s="353">
        <v>7062420</v>
      </c>
      <c r="V31" s="27">
        <v>240122280</v>
      </c>
      <c r="W31" s="16">
        <f t="shared" si="1"/>
        <v>268936953.60000002</v>
      </c>
      <c r="X31" s="19"/>
      <c r="Y31" s="17">
        <v>2012</v>
      </c>
      <c r="Z31" s="19"/>
      <c r="AD31"/>
      <c r="AE31"/>
      <c r="AF31"/>
      <c r="AG31"/>
    </row>
    <row r="32" spans="2:33" ht="43.9" customHeight="1" x14ac:dyDescent="0.25">
      <c r="B32" s="55" t="s">
        <v>80</v>
      </c>
      <c r="C32" s="19" t="s">
        <v>2</v>
      </c>
      <c r="D32" s="19" t="s">
        <v>85</v>
      </c>
      <c r="E32" s="19" t="s">
        <v>86</v>
      </c>
      <c r="F32" s="19" t="s">
        <v>87</v>
      </c>
      <c r="G32" s="19" t="s">
        <v>88</v>
      </c>
      <c r="H32" s="19" t="s">
        <v>3</v>
      </c>
      <c r="I32" s="19">
        <v>0</v>
      </c>
      <c r="J32" s="19" t="s">
        <v>89</v>
      </c>
      <c r="K32" s="19" t="s">
        <v>41</v>
      </c>
      <c r="L32" s="19" t="s">
        <v>4</v>
      </c>
      <c r="M32" s="19" t="s">
        <v>90</v>
      </c>
      <c r="N32" s="19" t="s">
        <v>28</v>
      </c>
      <c r="O32" s="127"/>
      <c r="P32" s="127">
        <v>5</v>
      </c>
      <c r="Q32" s="140"/>
      <c r="R32" s="140"/>
      <c r="S32" s="140"/>
      <c r="T32" s="140"/>
      <c r="U32" s="28">
        <v>11540930</v>
      </c>
      <c r="V32" s="28">
        <v>57704650</v>
      </c>
      <c r="W32" s="28">
        <f>V32*1.12</f>
        <v>64629208.000000007</v>
      </c>
      <c r="X32" s="19"/>
      <c r="Y32" s="19">
        <v>2013</v>
      </c>
      <c r="Z32" s="141"/>
      <c r="AD32"/>
      <c r="AE32"/>
      <c r="AF32"/>
      <c r="AG32"/>
    </row>
    <row r="33" spans="2:33" ht="43.9" customHeight="1" x14ac:dyDescent="0.25">
      <c r="B33" s="55" t="s">
        <v>82</v>
      </c>
      <c r="C33" s="19" t="s">
        <v>2</v>
      </c>
      <c r="D33" s="19" t="s">
        <v>85</v>
      </c>
      <c r="E33" s="19" t="s">
        <v>86</v>
      </c>
      <c r="F33" s="19" t="s">
        <v>87</v>
      </c>
      <c r="G33" s="19" t="s">
        <v>88</v>
      </c>
      <c r="H33" s="19" t="s">
        <v>3</v>
      </c>
      <c r="I33" s="19">
        <v>0</v>
      </c>
      <c r="J33" s="19" t="s">
        <v>89</v>
      </c>
      <c r="K33" s="19" t="s">
        <v>41</v>
      </c>
      <c r="L33" s="19" t="s">
        <v>4</v>
      </c>
      <c r="M33" s="19" t="s">
        <v>90</v>
      </c>
      <c r="N33" s="19" t="s">
        <v>28</v>
      </c>
      <c r="O33" s="127"/>
      <c r="P33" s="127">
        <v>3</v>
      </c>
      <c r="Q33" s="140"/>
      <c r="R33" s="140"/>
      <c r="S33" s="140"/>
      <c r="T33" s="140"/>
      <c r="U33" s="28">
        <v>12080000</v>
      </c>
      <c r="V33" s="28">
        <v>36240000</v>
      </c>
      <c r="W33" s="28">
        <f t="shared" ref="W33:W49" si="2">V33*1.12</f>
        <v>40588800.000000007</v>
      </c>
      <c r="X33" s="19"/>
      <c r="Y33" s="19">
        <v>2013</v>
      </c>
      <c r="Z33" s="141"/>
      <c r="AD33"/>
      <c r="AE33"/>
      <c r="AF33"/>
      <c r="AG33"/>
    </row>
    <row r="34" spans="2:33" ht="43.9" customHeight="1" x14ac:dyDescent="0.25">
      <c r="B34" s="55" t="s">
        <v>127</v>
      </c>
      <c r="C34" s="19" t="s">
        <v>2</v>
      </c>
      <c r="D34" s="19" t="s">
        <v>91</v>
      </c>
      <c r="E34" s="19" t="s">
        <v>92</v>
      </c>
      <c r="F34" s="19" t="s">
        <v>93</v>
      </c>
      <c r="G34" s="19" t="s">
        <v>94</v>
      </c>
      <c r="H34" s="19" t="s">
        <v>95</v>
      </c>
      <c r="I34" s="19">
        <v>0</v>
      </c>
      <c r="J34" s="19" t="s">
        <v>96</v>
      </c>
      <c r="K34" s="19" t="s">
        <v>41</v>
      </c>
      <c r="L34" s="19" t="s">
        <v>97</v>
      </c>
      <c r="M34" s="19" t="s">
        <v>98</v>
      </c>
      <c r="N34" s="19" t="s">
        <v>28</v>
      </c>
      <c r="O34" s="142">
        <v>1</v>
      </c>
      <c r="P34" s="142"/>
      <c r="Q34" s="119"/>
      <c r="R34" s="119"/>
      <c r="S34" s="119"/>
      <c r="T34" s="119"/>
      <c r="U34" s="28">
        <v>21427200</v>
      </c>
      <c r="V34" s="28">
        <v>21427200</v>
      </c>
      <c r="W34" s="28">
        <f t="shared" si="2"/>
        <v>23998464.000000004</v>
      </c>
      <c r="X34" s="19"/>
      <c r="Y34" s="19">
        <v>2013</v>
      </c>
      <c r="Z34" s="19"/>
      <c r="AD34"/>
      <c r="AE34"/>
      <c r="AF34"/>
      <c r="AG34"/>
    </row>
    <row r="35" spans="2:33" ht="43.9" customHeight="1" x14ac:dyDescent="0.25">
      <c r="B35" s="55" t="s">
        <v>128</v>
      </c>
      <c r="C35" s="19" t="s">
        <v>2</v>
      </c>
      <c r="D35" s="19" t="s">
        <v>91</v>
      </c>
      <c r="E35" s="19" t="s">
        <v>92</v>
      </c>
      <c r="F35" s="19" t="s">
        <v>93</v>
      </c>
      <c r="G35" s="19" t="s">
        <v>94</v>
      </c>
      <c r="H35" s="19" t="s">
        <v>95</v>
      </c>
      <c r="I35" s="19">
        <v>0</v>
      </c>
      <c r="J35" s="19" t="s">
        <v>96</v>
      </c>
      <c r="K35" s="19" t="s">
        <v>41</v>
      </c>
      <c r="L35" s="19" t="s">
        <v>97</v>
      </c>
      <c r="M35" s="19" t="s">
        <v>98</v>
      </c>
      <c r="N35" s="19" t="s">
        <v>28</v>
      </c>
      <c r="O35" s="142"/>
      <c r="P35" s="142">
        <v>3</v>
      </c>
      <c r="Q35" s="119"/>
      <c r="R35" s="119"/>
      <c r="S35" s="119"/>
      <c r="T35" s="119"/>
      <c r="U35" s="28">
        <v>21427200</v>
      </c>
      <c r="V35" s="28">
        <v>64281600</v>
      </c>
      <c r="W35" s="28">
        <f t="shared" si="2"/>
        <v>71995392</v>
      </c>
      <c r="X35" s="19"/>
      <c r="Y35" s="19">
        <v>2013</v>
      </c>
      <c r="Z35" s="19"/>
      <c r="AD35"/>
      <c r="AE35"/>
      <c r="AF35"/>
      <c r="AG35"/>
    </row>
    <row r="36" spans="2:33" ht="43.9" customHeight="1" x14ac:dyDescent="0.25">
      <c r="B36" s="55" t="s">
        <v>129</v>
      </c>
      <c r="C36" s="19" t="s">
        <v>2</v>
      </c>
      <c r="D36" s="19" t="s">
        <v>91</v>
      </c>
      <c r="E36" s="19" t="s">
        <v>92</v>
      </c>
      <c r="F36" s="19" t="s">
        <v>93</v>
      </c>
      <c r="G36" s="19" t="s">
        <v>94</v>
      </c>
      <c r="H36" s="19" t="s">
        <v>95</v>
      </c>
      <c r="I36" s="19">
        <v>0</v>
      </c>
      <c r="J36" s="19" t="s">
        <v>96</v>
      </c>
      <c r="K36" s="19" t="s">
        <v>41</v>
      </c>
      <c r="L36" s="19" t="s">
        <v>97</v>
      </c>
      <c r="M36" s="19" t="s">
        <v>98</v>
      </c>
      <c r="N36" s="19" t="s">
        <v>28</v>
      </c>
      <c r="O36" s="142"/>
      <c r="P36" s="142">
        <v>2</v>
      </c>
      <c r="Q36" s="119"/>
      <c r="R36" s="119"/>
      <c r="S36" s="119"/>
      <c r="T36" s="119"/>
      <c r="U36" s="28">
        <v>39408750</v>
      </c>
      <c r="V36" s="28">
        <v>78817500</v>
      </c>
      <c r="W36" s="28">
        <f t="shared" si="2"/>
        <v>88275600.000000015</v>
      </c>
      <c r="X36" s="19"/>
      <c r="Y36" s="19">
        <v>2013</v>
      </c>
      <c r="Z36" s="19"/>
      <c r="AD36"/>
      <c r="AE36"/>
      <c r="AF36"/>
      <c r="AG36"/>
    </row>
    <row r="37" spans="2:33" ht="43.9" customHeight="1" x14ac:dyDescent="0.25">
      <c r="B37" s="55" t="s">
        <v>130</v>
      </c>
      <c r="C37" s="19" t="s">
        <v>2</v>
      </c>
      <c r="D37" s="19" t="s">
        <v>91</v>
      </c>
      <c r="E37" s="19" t="s">
        <v>92</v>
      </c>
      <c r="F37" s="19" t="s">
        <v>93</v>
      </c>
      <c r="G37" s="19" t="s">
        <v>99</v>
      </c>
      <c r="H37" s="19" t="s">
        <v>3</v>
      </c>
      <c r="I37" s="19">
        <v>0</v>
      </c>
      <c r="J37" s="19" t="s">
        <v>1018</v>
      </c>
      <c r="K37" s="19" t="s">
        <v>41</v>
      </c>
      <c r="L37" s="19" t="s">
        <v>4</v>
      </c>
      <c r="M37" s="19" t="s">
        <v>98</v>
      </c>
      <c r="N37" s="19" t="s">
        <v>28</v>
      </c>
      <c r="O37" s="127"/>
      <c r="P37" s="127">
        <v>1</v>
      </c>
      <c r="Q37" s="140"/>
      <c r="R37" s="140"/>
      <c r="S37" s="140"/>
      <c r="T37" s="140"/>
      <c r="U37" s="28">
        <v>65100000</v>
      </c>
      <c r="V37" s="28">
        <v>65100000</v>
      </c>
      <c r="W37" s="28">
        <f t="shared" si="2"/>
        <v>72912000</v>
      </c>
      <c r="X37" s="19"/>
      <c r="Y37" s="19">
        <v>2013</v>
      </c>
      <c r="Z37" s="19"/>
      <c r="AD37"/>
      <c r="AE37"/>
      <c r="AF37"/>
      <c r="AG37"/>
    </row>
    <row r="38" spans="2:33" ht="43.9" customHeight="1" x14ac:dyDescent="0.25">
      <c r="B38" s="55" t="s">
        <v>131</v>
      </c>
      <c r="C38" s="19" t="s">
        <v>2</v>
      </c>
      <c r="D38" s="19" t="s">
        <v>91</v>
      </c>
      <c r="E38" s="19" t="s">
        <v>92</v>
      </c>
      <c r="F38" s="19" t="s">
        <v>93</v>
      </c>
      <c r="G38" s="19" t="s">
        <v>100</v>
      </c>
      <c r="H38" s="19" t="s">
        <v>3</v>
      </c>
      <c r="I38" s="19">
        <v>0</v>
      </c>
      <c r="J38" s="19" t="s">
        <v>1018</v>
      </c>
      <c r="K38" s="19" t="s">
        <v>41</v>
      </c>
      <c r="L38" s="19" t="s">
        <v>4</v>
      </c>
      <c r="M38" s="19" t="s">
        <v>98</v>
      </c>
      <c r="N38" s="19" t="s">
        <v>28</v>
      </c>
      <c r="O38" s="127"/>
      <c r="P38" s="127">
        <v>2</v>
      </c>
      <c r="Q38" s="140"/>
      <c r="R38" s="140"/>
      <c r="S38" s="140"/>
      <c r="T38" s="140"/>
      <c r="U38" s="28">
        <v>29450000</v>
      </c>
      <c r="V38" s="28">
        <v>58900000</v>
      </c>
      <c r="W38" s="28">
        <f t="shared" si="2"/>
        <v>65968000.000000007</v>
      </c>
      <c r="X38" s="19"/>
      <c r="Y38" s="19">
        <v>2013</v>
      </c>
      <c r="Z38" s="19"/>
      <c r="AD38"/>
      <c r="AE38"/>
      <c r="AF38"/>
      <c r="AG38"/>
    </row>
    <row r="39" spans="2:33" ht="43.9" customHeight="1" x14ac:dyDescent="0.25">
      <c r="B39" s="55" t="s">
        <v>132</v>
      </c>
      <c r="C39" s="19" t="s">
        <v>2</v>
      </c>
      <c r="D39" s="19" t="s">
        <v>91</v>
      </c>
      <c r="E39" s="19" t="s">
        <v>92</v>
      </c>
      <c r="F39" s="19" t="s">
        <v>93</v>
      </c>
      <c r="G39" s="19" t="s">
        <v>101</v>
      </c>
      <c r="H39" s="19" t="s">
        <v>95</v>
      </c>
      <c r="I39" s="19">
        <v>0</v>
      </c>
      <c r="J39" s="19" t="s">
        <v>1021</v>
      </c>
      <c r="K39" s="19" t="s">
        <v>41</v>
      </c>
      <c r="L39" s="19" t="s">
        <v>4</v>
      </c>
      <c r="M39" s="19" t="s">
        <v>34</v>
      </c>
      <c r="N39" s="19" t="s">
        <v>28</v>
      </c>
      <c r="O39" s="127"/>
      <c r="P39" s="127">
        <v>3</v>
      </c>
      <c r="Q39" s="140"/>
      <c r="R39" s="140"/>
      <c r="S39" s="140"/>
      <c r="T39" s="140"/>
      <c r="U39" s="28">
        <v>17044885</v>
      </c>
      <c r="V39" s="28">
        <v>51134655</v>
      </c>
      <c r="W39" s="28">
        <f t="shared" si="2"/>
        <v>57270813.600000009</v>
      </c>
      <c r="X39" s="19"/>
      <c r="Y39" s="19">
        <v>2013</v>
      </c>
      <c r="Z39" s="19"/>
      <c r="AD39"/>
      <c r="AE39"/>
      <c r="AF39"/>
      <c r="AG39"/>
    </row>
    <row r="40" spans="2:33" ht="43.9" customHeight="1" x14ac:dyDescent="0.25">
      <c r="B40" s="55" t="s">
        <v>133</v>
      </c>
      <c r="C40" s="19" t="s">
        <v>2</v>
      </c>
      <c r="D40" s="19" t="s">
        <v>91</v>
      </c>
      <c r="E40" s="19" t="s">
        <v>92</v>
      </c>
      <c r="F40" s="19" t="s">
        <v>93</v>
      </c>
      <c r="G40" s="19" t="s">
        <v>102</v>
      </c>
      <c r="H40" s="19" t="s">
        <v>95</v>
      </c>
      <c r="I40" s="19">
        <v>0</v>
      </c>
      <c r="J40" s="19" t="s">
        <v>1021</v>
      </c>
      <c r="K40" s="19" t="s">
        <v>41</v>
      </c>
      <c r="L40" s="19" t="s">
        <v>4</v>
      </c>
      <c r="M40" s="19" t="s">
        <v>34</v>
      </c>
      <c r="N40" s="19" t="s">
        <v>28</v>
      </c>
      <c r="O40" s="127"/>
      <c r="P40" s="127">
        <v>6</v>
      </c>
      <c r="Q40" s="140"/>
      <c r="R40" s="140"/>
      <c r="S40" s="140"/>
      <c r="T40" s="140"/>
      <c r="U40" s="28">
        <v>9955650</v>
      </c>
      <c r="V40" s="28">
        <v>59733900</v>
      </c>
      <c r="W40" s="28">
        <f t="shared" si="2"/>
        <v>66901968.000000007</v>
      </c>
      <c r="X40" s="19"/>
      <c r="Y40" s="19">
        <v>2013</v>
      </c>
      <c r="Z40" s="19"/>
      <c r="AD40"/>
      <c r="AE40"/>
      <c r="AF40"/>
      <c r="AG40"/>
    </row>
    <row r="41" spans="2:33" ht="43.9" customHeight="1" x14ac:dyDescent="0.25">
      <c r="B41" s="55" t="s">
        <v>134</v>
      </c>
      <c r="C41" s="19" t="s">
        <v>2</v>
      </c>
      <c r="D41" s="19" t="s">
        <v>103</v>
      </c>
      <c r="E41" s="19" t="s">
        <v>104</v>
      </c>
      <c r="F41" s="19" t="s">
        <v>105</v>
      </c>
      <c r="G41" s="19" t="s">
        <v>106</v>
      </c>
      <c r="H41" s="19" t="s">
        <v>95</v>
      </c>
      <c r="I41" s="19">
        <v>0</v>
      </c>
      <c r="J41" s="19" t="s">
        <v>1022</v>
      </c>
      <c r="K41" s="19" t="s">
        <v>41</v>
      </c>
      <c r="L41" s="19" t="s">
        <v>4</v>
      </c>
      <c r="M41" s="19" t="s">
        <v>90</v>
      </c>
      <c r="N41" s="19" t="s">
        <v>28</v>
      </c>
      <c r="O41" s="127">
        <v>2</v>
      </c>
      <c r="P41" s="127">
        <v>1</v>
      </c>
      <c r="Q41" s="119"/>
      <c r="R41" s="119"/>
      <c r="S41" s="119"/>
      <c r="T41" s="119"/>
      <c r="U41" s="28">
        <v>2970000</v>
      </c>
      <c r="V41" s="28">
        <v>8910000</v>
      </c>
      <c r="W41" s="28">
        <f t="shared" si="2"/>
        <v>9979200.0000000019</v>
      </c>
      <c r="X41" s="19"/>
      <c r="Y41" s="19">
        <v>2013</v>
      </c>
      <c r="Z41" s="19"/>
      <c r="AD41"/>
      <c r="AE41"/>
      <c r="AF41"/>
      <c r="AG41"/>
    </row>
    <row r="42" spans="2:33" ht="43.9" customHeight="1" x14ac:dyDescent="0.25">
      <c r="B42" s="55" t="s">
        <v>135</v>
      </c>
      <c r="C42" s="19" t="s">
        <v>2</v>
      </c>
      <c r="D42" s="19" t="s">
        <v>107</v>
      </c>
      <c r="E42" s="19" t="s">
        <v>108</v>
      </c>
      <c r="F42" s="19" t="s">
        <v>109</v>
      </c>
      <c r="G42" s="19" t="s">
        <v>110</v>
      </c>
      <c r="H42" s="19" t="s">
        <v>95</v>
      </c>
      <c r="I42" s="19">
        <v>0</v>
      </c>
      <c r="J42" s="19" t="s">
        <v>111</v>
      </c>
      <c r="K42" s="19" t="s">
        <v>41</v>
      </c>
      <c r="L42" s="19" t="s">
        <v>97</v>
      </c>
      <c r="M42" s="19" t="s">
        <v>34</v>
      </c>
      <c r="N42" s="19" t="s">
        <v>28</v>
      </c>
      <c r="O42" s="120">
        <v>2</v>
      </c>
      <c r="P42" s="120">
        <v>1</v>
      </c>
      <c r="Q42" s="121"/>
      <c r="R42" s="122"/>
      <c r="S42" s="123"/>
      <c r="T42" s="124"/>
      <c r="U42" s="125">
        <v>3267000</v>
      </c>
      <c r="V42" s="28">
        <v>9801000</v>
      </c>
      <c r="W42" s="28">
        <f t="shared" si="2"/>
        <v>10977120.000000002</v>
      </c>
      <c r="X42" s="35"/>
      <c r="Y42" s="19">
        <v>2013</v>
      </c>
      <c r="Z42" s="35"/>
      <c r="AD42"/>
      <c r="AE42"/>
      <c r="AF42"/>
      <c r="AG42"/>
    </row>
    <row r="43" spans="2:33" ht="43.9" customHeight="1" x14ac:dyDescent="0.25">
      <c r="B43" s="55" t="s">
        <v>136</v>
      </c>
      <c r="C43" s="19" t="s">
        <v>2</v>
      </c>
      <c r="D43" s="19" t="s">
        <v>112</v>
      </c>
      <c r="E43" s="19" t="s">
        <v>113</v>
      </c>
      <c r="F43" s="19" t="s">
        <v>114</v>
      </c>
      <c r="G43" s="19" t="s">
        <v>115</v>
      </c>
      <c r="H43" s="19" t="s">
        <v>3</v>
      </c>
      <c r="I43" s="19">
        <v>0</v>
      </c>
      <c r="J43" s="19" t="s">
        <v>116</v>
      </c>
      <c r="K43" s="19" t="s">
        <v>41</v>
      </c>
      <c r="L43" s="19" t="s">
        <v>117</v>
      </c>
      <c r="M43" s="19" t="s">
        <v>118</v>
      </c>
      <c r="N43" s="19" t="s">
        <v>28</v>
      </c>
      <c r="O43" s="44">
        <v>1700</v>
      </c>
      <c r="P43" s="44"/>
      <c r="Q43" s="41"/>
      <c r="R43" s="25"/>
      <c r="S43" s="32"/>
      <c r="T43" s="32"/>
      <c r="U43" s="28">
        <v>1824.15</v>
      </c>
      <c r="V43" s="26">
        <v>3101055</v>
      </c>
      <c r="W43" s="28">
        <f t="shared" si="2"/>
        <v>3473181.6000000006</v>
      </c>
      <c r="X43" s="19"/>
      <c r="Y43" s="19">
        <v>2013</v>
      </c>
      <c r="Z43" s="205" t="s">
        <v>352</v>
      </c>
      <c r="AD43"/>
      <c r="AE43"/>
      <c r="AF43"/>
      <c r="AG43"/>
    </row>
    <row r="44" spans="2:33" ht="43.9" customHeight="1" x14ac:dyDescent="0.25">
      <c r="B44" s="55" t="s">
        <v>137</v>
      </c>
      <c r="C44" s="19" t="s">
        <v>2</v>
      </c>
      <c r="D44" s="19" t="s">
        <v>119</v>
      </c>
      <c r="E44" s="19" t="s">
        <v>120</v>
      </c>
      <c r="F44" s="19" t="s">
        <v>121</v>
      </c>
      <c r="G44" s="19" t="s">
        <v>122</v>
      </c>
      <c r="H44" s="19" t="s">
        <v>3</v>
      </c>
      <c r="I44" s="19">
        <v>0</v>
      </c>
      <c r="J44" s="19" t="s">
        <v>116</v>
      </c>
      <c r="K44" s="19" t="s">
        <v>41</v>
      </c>
      <c r="L44" s="19" t="s">
        <v>117</v>
      </c>
      <c r="M44" s="19" t="s">
        <v>118</v>
      </c>
      <c r="N44" s="19" t="s">
        <v>28</v>
      </c>
      <c r="O44" s="44">
        <v>50</v>
      </c>
      <c r="P44" s="44"/>
      <c r="Q44" s="41"/>
      <c r="R44" s="25"/>
      <c r="S44" s="32"/>
      <c r="T44" s="32"/>
      <c r="U44" s="28">
        <v>19161.25</v>
      </c>
      <c r="V44" s="26">
        <v>958062.5</v>
      </c>
      <c r="W44" s="28">
        <f t="shared" si="2"/>
        <v>1073030</v>
      </c>
      <c r="X44" s="19"/>
      <c r="Y44" s="19">
        <v>2013</v>
      </c>
      <c r="Z44" s="205" t="s">
        <v>352</v>
      </c>
      <c r="AD44"/>
      <c r="AE44"/>
      <c r="AF44"/>
      <c r="AG44"/>
    </row>
    <row r="45" spans="2:33" ht="43.9" customHeight="1" x14ac:dyDescent="0.25">
      <c r="B45" s="55" t="s">
        <v>138</v>
      </c>
      <c r="C45" s="19" t="s">
        <v>2</v>
      </c>
      <c r="D45" s="19" t="s">
        <v>44</v>
      </c>
      <c r="E45" s="19" t="s">
        <v>45</v>
      </c>
      <c r="F45" s="19" t="s">
        <v>46</v>
      </c>
      <c r="G45" s="19" t="s">
        <v>123</v>
      </c>
      <c r="H45" s="19" t="s">
        <v>3</v>
      </c>
      <c r="I45" s="19">
        <v>0</v>
      </c>
      <c r="J45" s="19" t="s">
        <v>1018</v>
      </c>
      <c r="K45" s="19" t="s">
        <v>124</v>
      </c>
      <c r="L45" s="19" t="s">
        <v>4</v>
      </c>
      <c r="M45" s="19" t="s">
        <v>49</v>
      </c>
      <c r="N45" s="19" t="s">
        <v>28</v>
      </c>
      <c r="O45" s="120"/>
      <c r="P45" s="120">
        <v>5</v>
      </c>
      <c r="Q45" s="120"/>
      <c r="R45" s="27"/>
      <c r="S45" s="32"/>
      <c r="T45" s="32"/>
      <c r="U45" s="28">
        <v>18636000</v>
      </c>
      <c r="V45" s="28">
        <v>93180000</v>
      </c>
      <c r="W45" s="28">
        <f t="shared" si="2"/>
        <v>104361600.00000001</v>
      </c>
      <c r="X45" s="19"/>
      <c r="Y45" s="19">
        <v>2013</v>
      </c>
      <c r="Z45" s="205" t="s">
        <v>352</v>
      </c>
      <c r="AD45"/>
      <c r="AE45"/>
      <c r="AF45"/>
      <c r="AG45"/>
    </row>
    <row r="46" spans="2:33" ht="43.9" customHeight="1" x14ac:dyDescent="0.25">
      <c r="B46" s="55" t="s">
        <v>84</v>
      </c>
      <c r="C46" s="19" t="s">
        <v>2</v>
      </c>
      <c r="D46" s="19" t="s">
        <v>30</v>
      </c>
      <c r="E46" s="19" t="s">
        <v>31</v>
      </c>
      <c r="F46" s="19" t="s">
        <v>32</v>
      </c>
      <c r="G46" s="19" t="s">
        <v>167</v>
      </c>
      <c r="H46" s="19" t="s">
        <v>95</v>
      </c>
      <c r="I46" s="19">
        <v>0</v>
      </c>
      <c r="J46" s="19" t="s">
        <v>1021</v>
      </c>
      <c r="K46" s="19" t="s">
        <v>125</v>
      </c>
      <c r="L46" s="19" t="s">
        <v>4</v>
      </c>
      <c r="M46" s="19" t="s">
        <v>126</v>
      </c>
      <c r="N46" s="19" t="s">
        <v>28</v>
      </c>
      <c r="O46" s="19">
        <v>0</v>
      </c>
      <c r="P46" s="19">
        <v>3</v>
      </c>
      <c r="Q46" s="140"/>
      <c r="R46" s="28"/>
      <c r="S46" s="143"/>
      <c r="T46" s="143"/>
      <c r="U46" s="28">
        <v>20200000</v>
      </c>
      <c r="V46" s="28">
        <v>0</v>
      </c>
      <c r="W46" s="28">
        <f t="shared" ref="W46:W47" si="3">V46*1.12</f>
        <v>0</v>
      </c>
      <c r="X46" s="19"/>
      <c r="Y46" s="19">
        <v>2013</v>
      </c>
      <c r="Z46" s="19" t="s">
        <v>1311</v>
      </c>
      <c r="AD46"/>
      <c r="AE46"/>
      <c r="AF46"/>
      <c r="AG46"/>
    </row>
    <row r="47" spans="2:33" ht="43.9" customHeight="1" x14ac:dyDescent="0.25">
      <c r="B47" s="55" t="s">
        <v>1310</v>
      </c>
      <c r="C47" s="19" t="s">
        <v>2</v>
      </c>
      <c r="D47" s="19" t="s">
        <v>30</v>
      </c>
      <c r="E47" s="19" t="s">
        <v>31</v>
      </c>
      <c r="F47" s="19" t="s">
        <v>32</v>
      </c>
      <c r="G47" s="19" t="s">
        <v>167</v>
      </c>
      <c r="H47" s="19" t="s">
        <v>95</v>
      </c>
      <c r="I47" s="19">
        <v>0</v>
      </c>
      <c r="J47" s="19" t="s">
        <v>1021</v>
      </c>
      <c r="K47" s="19" t="s">
        <v>125</v>
      </c>
      <c r="L47" s="19" t="s">
        <v>4</v>
      </c>
      <c r="M47" s="19" t="s">
        <v>126</v>
      </c>
      <c r="N47" s="19" t="s">
        <v>28</v>
      </c>
      <c r="O47" s="19">
        <v>0</v>
      </c>
      <c r="P47" s="19">
        <v>3</v>
      </c>
      <c r="Q47" s="140"/>
      <c r="R47" s="28"/>
      <c r="S47" s="143"/>
      <c r="T47" s="143"/>
      <c r="U47" s="28">
        <v>27485000</v>
      </c>
      <c r="V47" s="28">
        <v>82455000</v>
      </c>
      <c r="W47" s="28">
        <f t="shared" si="3"/>
        <v>92349600.000000015</v>
      </c>
      <c r="X47" s="19"/>
      <c r="Y47" s="19">
        <v>2013</v>
      </c>
      <c r="Z47" s="19"/>
      <c r="AD47"/>
      <c r="AE47"/>
      <c r="AF47"/>
      <c r="AG47"/>
    </row>
    <row r="48" spans="2:33" ht="43.9" customHeight="1" x14ac:dyDescent="0.25">
      <c r="B48" s="55" t="s">
        <v>1400</v>
      </c>
      <c r="C48" s="19" t="s">
        <v>2</v>
      </c>
      <c r="D48" s="19" t="s">
        <v>66</v>
      </c>
      <c r="E48" s="19" t="s">
        <v>990</v>
      </c>
      <c r="F48" s="19" t="s">
        <v>991</v>
      </c>
      <c r="G48" s="19" t="s">
        <v>1410</v>
      </c>
      <c r="H48" s="19" t="s">
        <v>95</v>
      </c>
      <c r="I48" s="19">
        <v>0</v>
      </c>
      <c r="J48" s="19" t="s">
        <v>502</v>
      </c>
      <c r="K48" s="19" t="s">
        <v>41</v>
      </c>
      <c r="L48" s="19" t="s">
        <v>4</v>
      </c>
      <c r="M48" s="19" t="s">
        <v>1408</v>
      </c>
      <c r="N48" s="19" t="s">
        <v>1409</v>
      </c>
      <c r="O48" s="19"/>
      <c r="P48" s="19">
        <v>0</v>
      </c>
      <c r="Q48" s="140">
        <v>2315</v>
      </c>
      <c r="R48" s="28"/>
      <c r="S48" s="143"/>
      <c r="T48" s="143"/>
      <c r="U48" s="28">
        <v>9975</v>
      </c>
      <c r="V48" s="28">
        <v>23092125</v>
      </c>
      <c r="W48" s="28">
        <f t="shared" si="2"/>
        <v>25863180.000000004</v>
      </c>
      <c r="X48" s="19"/>
      <c r="Y48" s="19">
        <v>2014</v>
      </c>
      <c r="Z48" s="19"/>
      <c r="AD48"/>
      <c r="AE48"/>
      <c r="AF48"/>
      <c r="AG48"/>
    </row>
    <row r="49" spans="2:33" ht="43.9" customHeight="1" x14ac:dyDescent="0.25">
      <c r="B49" s="55" t="s">
        <v>1401</v>
      </c>
      <c r="C49" s="19" t="s">
        <v>2</v>
      </c>
      <c r="D49" s="19" t="s">
        <v>66</v>
      </c>
      <c r="E49" s="19" t="s">
        <v>990</v>
      </c>
      <c r="F49" s="19" t="s">
        <v>991</v>
      </c>
      <c r="G49" s="19" t="s">
        <v>1411</v>
      </c>
      <c r="H49" s="19" t="s">
        <v>95</v>
      </c>
      <c r="I49" s="19">
        <v>0</v>
      </c>
      <c r="J49" s="19" t="s">
        <v>502</v>
      </c>
      <c r="K49" s="19" t="s">
        <v>41</v>
      </c>
      <c r="L49" s="19" t="s">
        <v>4</v>
      </c>
      <c r="M49" s="116" t="s">
        <v>1408</v>
      </c>
      <c r="N49" s="19" t="s">
        <v>1409</v>
      </c>
      <c r="O49" s="19"/>
      <c r="P49" s="19">
        <v>0</v>
      </c>
      <c r="Q49" s="140">
        <v>2854</v>
      </c>
      <c r="R49" s="28"/>
      <c r="S49" s="143"/>
      <c r="T49" s="143"/>
      <c r="U49" s="28">
        <v>10475</v>
      </c>
      <c r="V49" s="28">
        <v>29895650</v>
      </c>
      <c r="W49" s="28">
        <f t="shared" si="2"/>
        <v>33483128.000000004</v>
      </c>
      <c r="X49" s="19"/>
      <c r="Y49" s="19">
        <v>2014</v>
      </c>
      <c r="Z49" s="19"/>
      <c r="AD49"/>
      <c r="AE49"/>
      <c r="AF49"/>
      <c r="AG49"/>
    </row>
    <row r="50" spans="2:33" ht="43.9" customHeight="1" x14ac:dyDescent="0.25">
      <c r="B50" s="55" t="s">
        <v>1504</v>
      </c>
      <c r="C50" s="19" t="s">
        <v>2</v>
      </c>
      <c r="D50" s="33" t="s">
        <v>1165</v>
      </c>
      <c r="E50" s="55" t="s">
        <v>1166</v>
      </c>
      <c r="F50" s="55" t="s">
        <v>1167</v>
      </c>
      <c r="G50" s="19" t="s">
        <v>1505</v>
      </c>
      <c r="H50" s="19" t="s">
        <v>95</v>
      </c>
      <c r="I50" s="19">
        <v>0</v>
      </c>
      <c r="J50" s="19" t="s">
        <v>1019</v>
      </c>
      <c r="K50" s="19" t="s">
        <v>41</v>
      </c>
      <c r="L50" s="19" t="s">
        <v>4</v>
      </c>
      <c r="M50" s="275" t="s">
        <v>1506</v>
      </c>
      <c r="N50" s="55" t="s">
        <v>35</v>
      </c>
      <c r="O50" s="19"/>
      <c r="P50" s="19">
        <v>0</v>
      </c>
      <c r="Q50" s="140">
        <v>1</v>
      </c>
      <c r="R50" s="28"/>
      <c r="S50" s="143"/>
      <c r="T50" s="143"/>
      <c r="U50" s="28">
        <v>46250000</v>
      </c>
      <c r="V50" s="28">
        <v>46250000</v>
      </c>
      <c r="W50" s="28">
        <f t="shared" ref="W50" si="4">V50*1.12</f>
        <v>51800000.000000007</v>
      </c>
      <c r="X50" s="19"/>
      <c r="Y50" s="19">
        <v>2014</v>
      </c>
      <c r="Z50" s="19"/>
      <c r="AD50"/>
      <c r="AE50"/>
      <c r="AF50"/>
      <c r="AG50"/>
    </row>
    <row r="51" spans="2:33" s="213" customFormat="1" ht="48" customHeight="1" x14ac:dyDescent="0.25">
      <c r="B51" s="55" t="s">
        <v>1592</v>
      </c>
      <c r="C51" s="355" t="s">
        <v>2</v>
      </c>
      <c r="D51" s="457" t="s">
        <v>1165</v>
      </c>
      <c r="E51" s="457" t="s">
        <v>1166</v>
      </c>
      <c r="F51" s="457" t="s">
        <v>1167</v>
      </c>
      <c r="G51" s="457" t="s">
        <v>79</v>
      </c>
      <c r="H51" s="279" t="s">
        <v>95</v>
      </c>
      <c r="I51" s="279">
        <v>0</v>
      </c>
      <c r="J51" s="279" t="s">
        <v>505</v>
      </c>
      <c r="K51" s="275" t="s">
        <v>1591</v>
      </c>
      <c r="L51" s="279" t="s">
        <v>1593</v>
      </c>
      <c r="M51" s="283" t="s">
        <v>1132</v>
      </c>
      <c r="N51" s="55" t="s">
        <v>35</v>
      </c>
      <c r="O51" s="409"/>
      <c r="P51" s="232"/>
      <c r="Q51" s="458">
        <v>1</v>
      </c>
      <c r="R51" s="458">
        <v>1</v>
      </c>
      <c r="S51" s="458">
        <v>1</v>
      </c>
      <c r="T51" s="309"/>
      <c r="U51" s="458">
        <v>134402500</v>
      </c>
      <c r="V51" s="438">
        <v>403207500</v>
      </c>
      <c r="W51" s="302">
        <f>V51*1.12</f>
        <v>451592400.00000006</v>
      </c>
      <c r="X51" s="231"/>
      <c r="Y51" s="135">
        <v>2015</v>
      </c>
      <c r="Z51" s="408"/>
      <c r="AD51" s="233"/>
      <c r="AE51" s="233"/>
      <c r="AF51" s="233"/>
      <c r="AG51" s="233"/>
    </row>
    <row r="52" spans="2:33" x14ac:dyDescent="0.25">
      <c r="B52" s="128" t="s">
        <v>168</v>
      </c>
      <c r="C52" s="73"/>
      <c r="D52" s="74"/>
      <c r="E52" s="75"/>
      <c r="F52" s="75"/>
      <c r="G52" s="75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6">
        <f>SUM(V13:V51)</f>
        <v>10606211198.5</v>
      </c>
      <c r="W52" s="77">
        <f>V52*1.12</f>
        <v>11878956542.320002</v>
      </c>
      <c r="X52" s="73"/>
      <c r="Y52" s="78"/>
      <c r="Z52" s="73"/>
      <c r="AD52"/>
      <c r="AE52"/>
      <c r="AF52"/>
      <c r="AG52"/>
    </row>
    <row r="53" spans="2:33" x14ac:dyDescent="0.25">
      <c r="B53" s="129" t="s">
        <v>169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81"/>
      <c r="Q53" s="79"/>
      <c r="R53" s="79"/>
      <c r="S53" s="79"/>
      <c r="Z53" s="206"/>
      <c r="AD53"/>
      <c r="AE53"/>
      <c r="AF53"/>
      <c r="AG53"/>
    </row>
    <row r="54" spans="2:33" ht="45.75" customHeight="1" x14ac:dyDescent="0.25">
      <c r="B54" s="82" t="s">
        <v>170</v>
      </c>
      <c r="C54" s="19" t="s">
        <v>2</v>
      </c>
      <c r="D54" s="83" t="s">
        <v>171</v>
      </c>
      <c r="E54" s="86" t="s">
        <v>172</v>
      </c>
      <c r="F54" s="86" t="s">
        <v>173</v>
      </c>
      <c r="G54" s="86" t="s">
        <v>174</v>
      </c>
      <c r="H54" s="85" t="s">
        <v>3</v>
      </c>
      <c r="I54" s="82">
        <v>0</v>
      </c>
      <c r="J54" s="55" t="s">
        <v>1023</v>
      </c>
      <c r="K54" s="86" t="s">
        <v>175</v>
      </c>
      <c r="L54" s="82"/>
      <c r="M54" s="86" t="s">
        <v>15</v>
      </c>
      <c r="N54" s="82"/>
      <c r="O54" s="88">
        <v>81378000</v>
      </c>
      <c r="P54" s="88">
        <v>51303915</v>
      </c>
      <c r="Q54" s="88"/>
      <c r="R54" s="88"/>
      <c r="S54" s="88"/>
      <c r="T54" s="88"/>
      <c r="U54" s="88"/>
      <c r="V54" s="16">
        <v>132681915</v>
      </c>
      <c r="W54" s="28">
        <f t="shared" ref="W54:W55" si="5">V54*1.12</f>
        <v>148603744.80000001</v>
      </c>
      <c r="X54" s="82"/>
      <c r="Y54" s="17">
        <v>2012</v>
      </c>
      <c r="Z54" s="205" t="s">
        <v>352</v>
      </c>
      <c r="AD54"/>
      <c r="AE54"/>
      <c r="AF54"/>
      <c r="AG54"/>
    </row>
    <row r="55" spans="2:33" ht="30.75" customHeight="1" x14ac:dyDescent="0.25">
      <c r="B55" s="82" t="s">
        <v>176</v>
      </c>
      <c r="C55" s="19" t="s">
        <v>2</v>
      </c>
      <c r="D55" s="83" t="s">
        <v>177</v>
      </c>
      <c r="E55" s="84" t="s">
        <v>178</v>
      </c>
      <c r="F55" s="84" t="s">
        <v>178</v>
      </c>
      <c r="G55" s="84" t="s">
        <v>179</v>
      </c>
      <c r="H55" s="85" t="s">
        <v>3</v>
      </c>
      <c r="I55" s="82">
        <v>0</v>
      </c>
      <c r="J55" s="13" t="s">
        <v>1024</v>
      </c>
      <c r="K55" s="55" t="s">
        <v>41</v>
      </c>
      <c r="L55" s="82"/>
      <c r="M55" s="86" t="s">
        <v>49</v>
      </c>
      <c r="N55" s="82"/>
      <c r="O55" s="16">
        <v>43956000</v>
      </c>
      <c r="P55" s="88"/>
      <c r="Q55" s="88"/>
      <c r="R55" s="88"/>
      <c r="S55" s="88"/>
      <c r="T55" s="88"/>
      <c r="U55" s="88"/>
      <c r="V55" s="88">
        <v>111300000</v>
      </c>
      <c r="W55" s="28">
        <f t="shared" si="5"/>
        <v>124656000.00000001</v>
      </c>
      <c r="X55" s="82"/>
      <c r="Y55" s="17">
        <v>2012</v>
      </c>
      <c r="Z55" s="82"/>
      <c r="AD55"/>
      <c r="AE55"/>
      <c r="AF55"/>
      <c r="AG55"/>
    </row>
    <row r="56" spans="2:33" ht="30.75" customHeight="1" x14ac:dyDescent="0.25">
      <c r="B56" s="82" t="s">
        <v>180</v>
      </c>
      <c r="C56" s="19" t="s">
        <v>2</v>
      </c>
      <c r="D56" s="144" t="s">
        <v>181</v>
      </c>
      <c r="E56" s="98" t="s">
        <v>182</v>
      </c>
      <c r="F56" s="98" t="s">
        <v>992</v>
      </c>
      <c r="G56" s="82" t="s">
        <v>183</v>
      </c>
      <c r="H56" s="40" t="s">
        <v>3</v>
      </c>
      <c r="I56" s="82">
        <v>0</v>
      </c>
      <c r="J56" s="55" t="s">
        <v>1025</v>
      </c>
      <c r="K56" s="82" t="s">
        <v>14</v>
      </c>
      <c r="L56" s="82"/>
      <c r="M56" s="82" t="s">
        <v>184</v>
      </c>
      <c r="N56" s="82"/>
      <c r="O56" s="88">
        <v>239750796.69999999</v>
      </c>
      <c r="P56" s="88">
        <v>239750796.69999999</v>
      </c>
      <c r="Q56" s="88">
        <v>239750796.69999999</v>
      </c>
      <c r="R56" s="88"/>
      <c r="S56" s="88"/>
      <c r="T56" s="88"/>
      <c r="U56" s="88"/>
      <c r="V56" s="88">
        <v>719252390.0999999</v>
      </c>
      <c r="W56" s="88">
        <f>V56*1.12</f>
        <v>805562676.91199994</v>
      </c>
      <c r="X56" s="82"/>
      <c r="Y56" s="17">
        <v>2012</v>
      </c>
      <c r="Z56" s="82"/>
      <c r="AD56"/>
      <c r="AE56"/>
      <c r="AF56"/>
      <c r="AG56"/>
    </row>
    <row r="57" spans="2:33" ht="30.75" customHeight="1" x14ac:dyDescent="0.25">
      <c r="B57" s="82" t="s">
        <v>185</v>
      </c>
      <c r="C57" s="19" t="s">
        <v>2</v>
      </c>
      <c r="D57" s="144" t="s">
        <v>181</v>
      </c>
      <c r="E57" s="98" t="s">
        <v>182</v>
      </c>
      <c r="F57" s="98" t="s">
        <v>992</v>
      </c>
      <c r="G57" s="82" t="s">
        <v>186</v>
      </c>
      <c r="H57" s="40" t="s">
        <v>3</v>
      </c>
      <c r="I57" s="82">
        <v>0</v>
      </c>
      <c r="J57" s="55" t="s">
        <v>1025</v>
      </c>
      <c r="K57" s="82" t="s">
        <v>14</v>
      </c>
      <c r="L57" s="82"/>
      <c r="M57" s="82" t="s">
        <v>184</v>
      </c>
      <c r="N57" s="82"/>
      <c r="O57" s="88">
        <v>252562373</v>
      </c>
      <c r="P57" s="88">
        <v>252562373</v>
      </c>
      <c r="Q57" s="88">
        <v>252562373</v>
      </c>
      <c r="R57" s="88"/>
      <c r="S57" s="88"/>
      <c r="T57" s="88"/>
      <c r="U57" s="88"/>
      <c r="V57" s="88">
        <v>757687119</v>
      </c>
      <c r="W57" s="88">
        <f t="shared" ref="W57:W76" si="6">V57*1.12</f>
        <v>848609573.28000009</v>
      </c>
      <c r="X57" s="82"/>
      <c r="Y57" s="17">
        <v>2012</v>
      </c>
      <c r="Z57" s="82"/>
      <c r="AD57"/>
      <c r="AE57"/>
      <c r="AF57"/>
      <c r="AG57"/>
    </row>
    <row r="58" spans="2:33" ht="30.75" customHeight="1" x14ac:dyDescent="0.25">
      <c r="B58" s="82" t="s">
        <v>187</v>
      </c>
      <c r="C58" s="19" t="s">
        <v>2</v>
      </c>
      <c r="D58" s="144" t="s">
        <v>181</v>
      </c>
      <c r="E58" s="98" t="s">
        <v>182</v>
      </c>
      <c r="F58" s="98" t="s">
        <v>992</v>
      </c>
      <c r="G58" s="82" t="s">
        <v>188</v>
      </c>
      <c r="H58" s="40" t="s">
        <v>3</v>
      </c>
      <c r="I58" s="82">
        <v>0</v>
      </c>
      <c r="J58" s="55" t="s">
        <v>1025</v>
      </c>
      <c r="K58" s="82" t="s">
        <v>14</v>
      </c>
      <c r="L58" s="82"/>
      <c r="M58" s="82" t="s">
        <v>184</v>
      </c>
      <c r="N58" s="82"/>
      <c r="O58" s="88">
        <v>591157755</v>
      </c>
      <c r="P58" s="88">
        <v>591157755</v>
      </c>
      <c r="Q58" s="88">
        <v>591157755</v>
      </c>
      <c r="R58" s="88"/>
      <c r="S58" s="88"/>
      <c r="T58" s="88"/>
      <c r="U58" s="88"/>
      <c r="V58" s="88">
        <v>1773473265</v>
      </c>
      <c r="W58" s="88">
        <f t="shared" si="6"/>
        <v>1986290056.8000002</v>
      </c>
      <c r="X58" s="82"/>
      <c r="Y58" s="17">
        <v>2012</v>
      </c>
      <c r="Z58" s="82"/>
      <c r="AD58"/>
      <c r="AE58"/>
      <c r="AF58"/>
      <c r="AG58"/>
    </row>
    <row r="59" spans="2:33" ht="30.75" customHeight="1" x14ac:dyDescent="0.25">
      <c r="B59" s="82" t="s">
        <v>189</v>
      </c>
      <c r="C59" s="19" t="s">
        <v>2</v>
      </c>
      <c r="D59" s="144" t="s">
        <v>181</v>
      </c>
      <c r="E59" s="98" t="s">
        <v>182</v>
      </c>
      <c r="F59" s="98" t="s">
        <v>992</v>
      </c>
      <c r="G59" s="82" t="s">
        <v>190</v>
      </c>
      <c r="H59" s="40" t="s">
        <v>3</v>
      </c>
      <c r="I59" s="82">
        <v>0</v>
      </c>
      <c r="J59" s="55" t="s">
        <v>1025</v>
      </c>
      <c r="K59" s="82" t="s">
        <v>14</v>
      </c>
      <c r="L59" s="82"/>
      <c r="M59" s="82" t="s">
        <v>184</v>
      </c>
      <c r="N59" s="82"/>
      <c r="O59" s="88">
        <v>21417858</v>
      </c>
      <c r="P59" s="88">
        <v>24796069</v>
      </c>
      <c r="Q59" s="88">
        <v>24796069</v>
      </c>
      <c r="R59" s="88"/>
      <c r="S59" s="88"/>
      <c r="T59" s="88"/>
      <c r="U59" s="88"/>
      <c r="V59" s="88">
        <v>71009996</v>
      </c>
      <c r="W59" s="88">
        <f t="shared" si="6"/>
        <v>79531195.520000011</v>
      </c>
      <c r="X59" s="82"/>
      <c r="Y59" s="17">
        <v>2012</v>
      </c>
      <c r="Z59" s="82"/>
      <c r="AD59"/>
      <c r="AE59"/>
      <c r="AF59"/>
      <c r="AG59"/>
    </row>
    <row r="60" spans="2:33" ht="30.75" customHeight="1" x14ac:dyDescent="0.25">
      <c r="B60" s="82" t="s">
        <v>191</v>
      </c>
      <c r="C60" s="19" t="s">
        <v>2</v>
      </c>
      <c r="D60" s="144" t="s">
        <v>181</v>
      </c>
      <c r="E60" s="98" t="s">
        <v>182</v>
      </c>
      <c r="F60" s="98" t="s">
        <v>992</v>
      </c>
      <c r="G60" s="82" t="s">
        <v>192</v>
      </c>
      <c r="H60" s="40" t="s">
        <v>3</v>
      </c>
      <c r="I60" s="82">
        <v>0</v>
      </c>
      <c r="J60" s="55" t="s">
        <v>1025</v>
      </c>
      <c r="K60" s="82" t="s">
        <v>14</v>
      </c>
      <c r="L60" s="82"/>
      <c r="M60" s="82" t="s">
        <v>184</v>
      </c>
      <c r="N60" s="82"/>
      <c r="O60" s="88">
        <v>15326813</v>
      </c>
      <c r="P60" s="88">
        <v>15326813</v>
      </c>
      <c r="Q60" s="88">
        <v>15326813</v>
      </c>
      <c r="R60" s="88"/>
      <c r="S60" s="88"/>
      <c r="T60" s="88"/>
      <c r="U60" s="88"/>
      <c r="V60" s="88">
        <v>45980439</v>
      </c>
      <c r="W60" s="88">
        <f t="shared" si="6"/>
        <v>51498091.680000007</v>
      </c>
      <c r="X60" s="82"/>
      <c r="Y60" s="17">
        <v>2012</v>
      </c>
      <c r="Z60" s="82"/>
      <c r="AD60"/>
      <c r="AE60"/>
      <c r="AF60"/>
      <c r="AG60"/>
    </row>
    <row r="61" spans="2:33" ht="30.75" customHeight="1" x14ac:dyDescent="0.25">
      <c r="B61" s="82" t="s">
        <v>193</v>
      </c>
      <c r="C61" s="19" t="s">
        <v>2</v>
      </c>
      <c r="D61" s="144" t="s">
        <v>181</v>
      </c>
      <c r="E61" s="98" t="s">
        <v>182</v>
      </c>
      <c r="F61" s="98" t="s">
        <v>992</v>
      </c>
      <c r="G61" s="82" t="s">
        <v>194</v>
      </c>
      <c r="H61" s="40" t="s">
        <v>3</v>
      </c>
      <c r="I61" s="82">
        <v>0</v>
      </c>
      <c r="J61" s="55" t="s">
        <v>1025</v>
      </c>
      <c r="K61" s="82" t="s">
        <v>14</v>
      </c>
      <c r="L61" s="82"/>
      <c r="M61" s="82" t="s">
        <v>184</v>
      </c>
      <c r="N61" s="82"/>
      <c r="O61" s="88">
        <v>60445867</v>
      </c>
      <c r="P61" s="88">
        <v>60445867</v>
      </c>
      <c r="Q61" s="88">
        <v>60445867</v>
      </c>
      <c r="R61" s="88"/>
      <c r="S61" s="88"/>
      <c r="T61" s="88"/>
      <c r="U61" s="88"/>
      <c r="V61" s="88">
        <v>181337601</v>
      </c>
      <c r="W61" s="88">
        <f t="shared" si="6"/>
        <v>203098113.12</v>
      </c>
      <c r="X61" s="82"/>
      <c r="Y61" s="17">
        <v>2012</v>
      </c>
      <c r="Z61" s="82"/>
      <c r="AD61"/>
      <c r="AE61"/>
      <c r="AF61"/>
      <c r="AG61"/>
    </row>
    <row r="62" spans="2:33" s="111" customFormat="1" ht="30.75" customHeight="1" x14ac:dyDescent="0.25">
      <c r="B62" s="82" t="s">
        <v>196</v>
      </c>
      <c r="C62" s="19" t="s">
        <v>2</v>
      </c>
      <c r="D62" s="144" t="s">
        <v>181</v>
      </c>
      <c r="E62" s="145" t="s">
        <v>182</v>
      </c>
      <c r="F62" s="98" t="s">
        <v>992</v>
      </c>
      <c r="G62" s="145" t="s">
        <v>195</v>
      </c>
      <c r="H62" s="40" t="s">
        <v>3</v>
      </c>
      <c r="I62" s="82">
        <v>0</v>
      </c>
      <c r="J62" s="146" t="s">
        <v>1025</v>
      </c>
      <c r="K62" s="55" t="s">
        <v>41</v>
      </c>
      <c r="L62" s="82"/>
      <c r="M62" s="82" t="s">
        <v>58</v>
      </c>
      <c r="N62" s="82"/>
      <c r="O62" s="211"/>
      <c r="P62" s="147">
        <v>96000000</v>
      </c>
      <c r="Q62" s="147">
        <v>96000000</v>
      </c>
      <c r="R62" s="147">
        <v>96000000</v>
      </c>
      <c r="S62" s="147">
        <v>96000000</v>
      </c>
      <c r="T62" s="147">
        <v>96000000</v>
      </c>
      <c r="U62" s="88"/>
      <c r="V62" s="88">
        <v>480000000</v>
      </c>
      <c r="W62" s="28">
        <f t="shared" si="6"/>
        <v>537600000</v>
      </c>
      <c r="X62" s="82"/>
      <c r="Y62" s="17">
        <v>2013</v>
      </c>
      <c r="Z62" s="148"/>
    </row>
    <row r="63" spans="2:33" ht="30.75" customHeight="1" x14ac:dyDescent="0.25">
      <c r="B63" s="82" t="s">
        <v>198</v>
      </c>
      <c r="C63" s="19" t="s">
        <v>2</v>
      </c>
      <c r="D63" s="144" t="s">
        <v>181</v>
      </c>
      <c r="E63" s="98" t="s">
        <v>182</v>
      </c>
      <c r="F63" s="98" t="s">
        <v>992</v>
      </c>
      <c r="G63" s="82" t="s">
        <v>197</v>
      </c>
      <c r="H63" s="40" t="s">
        <v>3</v>
      </c>
      <c r="I63" s="82">
        <v>0</v>
      </c>
      <c r="J63" s="55" t="s">
        <v>1025</v>
      </c>
      <c r="K63" s="82" t="s">
        <v>14</v>
      </c>
      <c r="L63" s="82"/>
      <c r="M63" s="82" t="s">
        <v>184</v>
      </c>
      <c r="N63" s="82"/>
      <c r="O63" s="88">
        <v>62523383</v>
      </c>
      <c r="P63" s="88">
        <v>62523383</v>
      </c>
      <c r="Q63" s="88">
        <v>62523383</v>
      </c>
      <c r="R63" s="88"/>
      <c r="S63" s="88"/>
      <c r="T63" s="88"/>
      <c r="U63" s="88"/>
      <c r="V63" s="88">
        <v>187570149</v>
      </c>
      <c r="W63" s="88">
        <f t="shared" si="6"/>
        <v>210078566.88000003</v>
      </c>
      <c r="X63" s="82"/>
      <c r="Y63" s="17">
        <v>2012</v>
      </c>
      <c r="Z63" s="82"/>
      <c r="AD63"/>
      <c r="AE63"/>
      <c r="AF63"/>
      <c r="AG63"/>
    </row>
    <row r="64" spans="2:33" ht="33.75" customHeight="1" x14ac:dyDescent="0.25">
      <c r="B64" s="82" t="s">
        <v>203</v>
      </c>
      <c r="C64" s="82" t="s">
        <v>2</v>
      </c>
      <c r="D64" s="97" t="s">
        <v>248</v>
      </c>
      <c r="E64" s="98" t="s">
        <v>182</v>
      </c>
      <c r="F64" s="98" t="s">
        <v>249</v>
      </c>
      <c r="G64" s="99" t="s">
        <v>250</v>
      </c>
      <c r="H64" s="40" t="s">
        <v>3</v>
      </c>
      <c r="I64" s="82">
        <v>0</v>
      </c>
      <c r="J64" s="55" t="s">
        <v>1026</v>
      </c>
      <c r="K64" s="99" t="s">
        <v>251</v>
      </c>
      <c r="L64" s="82"/>
      <c r="M64" s="55" t="s">
        <v>252</v>
      </c>
      <c r="N64" s="87"/>
      <c r="O64" s="88">
        <v>39732233.354399994</v>
      </c>
      <c r="P64" s="88"/>
      <c r="Q64" s="88"/>
      <c r="R64" s="88"/>
      <c r="S64" s="88"/>
      <c r="T64" s="88"/>
      <c r="U64" s="88"/>
      <c r="V64" s="16">
        <v>121464000</v>
      </c>
      <c r="W64" s="28">
        <f t="shared" si="6"/>
        <v>136039680</v>
      </c>
      <c r="X64" s="82"/>
      <c r="Y64" s="17">
        <v>2011</v>
      </c>
      <c r="Z64" s="160" t="s">
        <v>352</v>
      </c>
      <c r="AD64"/>
      <c r="AE64"/>
      <c r="AF64"/>
      <c r="AG64"/>
    </row>
    <row r="65" spans="2:33" ht="30.75" customHeight="1" x14ac:dyDescent="0.25">
      <c r="B65" s="82" t="s">
        <v>207</v>
      </c>
      <c r="C65" s="19" t="s">
        <v>2</v>
      </c>
      <c r="D65" s="97" t="s">
        <v>204</v>
      </c>
      <c r="E65" s="98" t="s">
        <v>205</v>
      </c>
      <c r="F65" s="98" t="s">
        <v>205</v>
      </c>
      <c r="G65" s="82" t="s">
        <v>206</v>
      </c>
      <c r="H65" s="40" t="s">
        <v>3</v>
      </c>
      <c r="I65" s="82">
        <v>0</v>
      </c>
      <c r="J65" s="55" t="s">
        <v>1025</v>
      </c>
      <c r="K65" s="82" t="s">
        <v>14</v>
      </c>
      <c r="L65" s="82"/>
      <c r="M65" s="82" t="s">
        <v>184</v>
      </c>
      <c r="N65" s="82"/>
      <c r="O65" s="88">
        <v>52715042</v>
      </c>
      <c r="P65" s="88">
        <v>190962167</v>
      </c>
      <c r="Q65" s="88">
        <v>190962167</v>
      </c>
      <c r="R65" s="88"/>
      <c r="S65" s="88"/>
      <c r="T65" s="88"/>
      <c r="U65" s="88"/>
      <c r="V65" s="88">
        <v>434639376</v>
      </c>
      <c r="W65" s="88">
        <f t="shared" si="6"/>
        <v>486796101.12000006</v>
      </c>
      <c r="X65" s="82"/>
      <c r="Y65" s="17">
        <v>2012</v>
      </c>
      <c r="Z65" s="82"/>
      <c r="AD65"/>
      <c r="AE65"/>
      <c r="AF65"/>
      <c r="AG65"/>
    </row>
    <row r="66" spans="2:33" ht="30.75" customHeight="1" x14ac:dyDescent="0.25">
      <c r="B66" s="82" t="s">
        <v>209</v>
      </c>
      <c r="C66" s="19" t="s">
        <v>2</v>
      </c>
      <c r="D66" s="97" t="s">
        <v>204</v>
      </c>
      <c r="E66" s="98" t="s">
        <v>205</v>
      </c>
      <c r="F66" s="98" t="s">
        <v>205</v>
      </c>
      <c r="G66" s="82" t="s">
        <v>208</v>
      </c>
      <c r="H66" s="40" t="s">
        <v>3</v>
      </c>
      <c r="I66" s="82">
        <v>0</v>
      </c>
      <c r="J66" s="55" t="s">
        <v>1025</v>
      </c>
      <c r="K66" s="82" t="s">
        <v>14</v>
      </c>
      <c r="L66" s="82"/>
      <c r="M66" s="82" t="s">
        <v>184</v>
      </c>
      <c r="N66" s="82"/>
      <c r="O66" s="88">
        <v>4133333</v>
      </c>
      <c r="P66" s="88">
        <v>4133333</v>
      </c>
      <c r="Q66" s="88">
        <v>4133333</v>
      </c>
      <c r="R66" s="88"/>
      <c r="S66" s="88"/>
      <c r="T66" s="88"/>
      <c r="U66" s="88"/>
      <c r="V66" s="88">
        <v>12399999</v>
      </c>
      <c r="W66" s="88">
        <f t="shared" si="6"/>
        <v>13887998.880000001</v>
      </c>
      <c r="X66" s="82"/>
      <c r="Y66" s="17">
        <v>2012</v>
      </c>
      <c r="Z66" s="82"/>
      <c r="AD66"/>
      <c r="AE66"/>
      <c r="AF66"/>
      <c r="AG66"/>
    </row>
    <row r="67" spans="2:33" ht="30.75" customHeight="1" x14ac:dyDescent="0.25">
      <c r="B67" s="82" t="s">
        <v>211</v>
      </c>
      <c r="C67" s="19" t="s">
        <v>2</v>
      </c>
      <c r="D67" s="97" t="s">
        <v>204</v>
      </c>
      <c r="E67" s="98" t="s">
        <v>205</v>
      </c>
      <c r="F67" s="98" t="s">
        <v>205</v>
      </c>
      <c r="G67" s="82" t="s">
        <v>210</v>
      </c>
      <c r="H67" s="40" t="s">
        <v>3</v>
      </c>
      <c r="I67" s="82">
        <v>0</v>
      </c>
      <c r="J67" s="55" t="s">
        <v>1025</v>
      </c>
      <c r="K67" s="82" t="s">
        <v>14</v>
      </c>
      <c r="L67" s="82"/>
      <c r="M67" s="82" t="s">
        <v>184</v>
      </c>
      <c r="N67" s="82"/>
      <c r="O67" s="88">
        <v>289581488</v>
      </c>
      <c r="P67" s="88">
        <v>289581488</v>
      </c>
      <c r="Q67" s="88">
        <v>289581488</v>
      </c>
      <c r="R67" s="88"/>
      <c r="S67" s="88"/>
      <c r="T67" s="88"/>
      <c r="U67" s="88"/>
      <c r="V67" s="88">
        <v>868744464</v>
      </c>
      <c r="W67" s="88">
        <f t="shared" si="6"/>
        <v>972993799.68000007</v>
      </c>
      <c r="X67" s="82"/>
      <c r="Y67" s="17">
        <v>2012</v>
      </c>
      <c r="Z67" s="82"/>
      <c r="AD67"/>
      <c r="AE67"/>
      <c r="AF67"/>
      <c r="AG67"/>
    </row>
    <row r="68" spans="2:33" ht="30.75" customHeight="1" x14ac:dyDescent="0.25">
      <c r="B68" s="82" t="s">
        <v>215</v>
      </c>
      <c r="C68" s="19" t="s">
        <v>2</v>
      </c>
      <c r="D68" s="97" t="s">
        <v>212</v>
      </c>
      <c r="E68" s="98" t="s">
        <v>182</v>
      </c>
      <c r="F68" s="98" t="s">
        <v>213</v>
      </c>
      <c r="G68" s="82" t="s">
        <v>214</v>
      </c>
      <c r="H68" s="40" t="s">
        <v>3</v>
      </c>
      <c r="I68" s="82">
        <v>0</v>
      </c>
      <c r="J68" s="55" t="s">
        <v>1025</v>
      </c>
      <c r="K68" s="82" t="s">
        <v>14</v>
      </c>
      <c r="L68" s="82"/>
      <c r="M68" s="82" t="s">
        <v>184</v>
      </c>
      <c r="N68" s="82"/>
      <c r="O68" s="88">
        <v>118739713</v>
      </c>
      <c r="P68" s="88">
        <v>118739713</v>
      </c>
      <c r="Q68" s="88">
        <v>118739713</v>
      </c>
      <c r="R68" s="88"/>
      <c r="S68" s="88"/>
      <c r="T68" s="88"/>
      <c r="U68" s="88"/>
      <c r="V68" s="88">
        <v>356219139</v>
      </c>
      <c r="W68" s="88">
        <f t="shared" si="6"/>
        <v>398965435.68000007</v>
      </c>
      <c r="X68" s="82"/>
      <c r="Y68" s="17">
        <v>2012</v>
      </c>
      <c r="Z68" s="82"/>
      <c r="AD68"/>
      <c r="AE68"/>
      <c r="AF68"/>
      <c r="AG68"/>
    </row>
    <row r="69" spans="2:33" ht="30.75" customHeight="1" x14ac:dyDescent="0.25">
      <c r="B69" s="82" t="s">
        <v>217</v>
      </c>
      <c r="C69" s="19" t="s">
        <v>2</v>
      </c>
      <c r="D69" s="97" t="s">
        <v>212</v>
      </c>
      <c r="E69" s="98" t="s">
        <v>182</v>
      </c>
      <c r="F69" s="98" t="s">
        <v>213</v>
      </c>
      <c r="G69" s="82" t="s">
        <v>216</v>
      </c>
      <c r="H69" s="40" t="s">
        <v>3</v>
      </c>
      <c r="I69" s="82">
        <v>0</v>
      </c>
      <c r="J69" s="55" t="s">
        <v>1025</v>
      </c>
      <c r="K69" s="82" t="s">
        <v>14</v>
      </c>
      <c r="L69" s="82"/>
      <c r="M69" s="82" t="s">
        <v>184</v>
      </c>
      <c r="N69" s="82"/>
      <c r="O69" s="88">
        <v>24354000</v>
      </c>
      <c r="P69" s="88">
        <v>24354000</v>
      </c>
      <c r="Q69" s="88">
        <v>24354000</v>
      </c>
      <c r="R69" s="88"/>
      <c r="S69" s="88"/>
      <c r="T69" s="88"/>
      <c r="U69" s="88"/>
      <c r="V69" s="88">
        <v>73062000</v>
      </c>
      <c r="W69" s="88">
        <f t="shared" si="6"/>
        <v>81829440.000000015</v>
      </c>
      <c r="X69" s="82"/>
      <c r="Y69" s="17">
        <v>2012</v>
      </c>
      <c r="Z69" s="82"/>
      <c r="AD69"/>
      <c r="AE69"/>
      <c r="AF69"/>
      <c r="AG69"/>
    </row>
    <row r="70" spans="2:33" ht="30.75" customHeight="1" x14ac:dyDescent="0.25">
      <c r="B70" s="82" t="s">
        <v>226</v>
      </c>
      <c r="C70" s="19" t="s">
        <v>2</v>
      </c>
      <c r="D70" s="97" t="s">
        <v>212</v>
      </c>
      <c r="E70" s="98" t="s">
        <v>182</v>
      </c>
      <c r="F70" s="98" t="s">
        <v>213</v>
      </c>
      <c r="G70" s="82" t="s">
        <v>218</v>
      </c>
      <c r="H70" s="40" t="s">
        <v>3</v>
      </c>
      <c r="I70" s="82">
        <v>0</v>
      </c>
      <c r="J70" s="55" t="s">
        <v>1025</v>
      </c>
      <c r="K70" s="82" t="s">
        <v>14</v>
      </c>
      <c r="L70" s="82"/>
      <c r="M70" s="82" t="s">
        <v>184</v>
      </c>
      <c r="N70" s="82"/>
      <c r="O70" s="88">
        <v>51650237</v>
      </c>
      <c r="P70" s="88">
        <v>51650237</v>
      </c>
      <c r="Q70" s="88">
        <v>51650237</v>
      </c>
      <c r="R70" s="88"/>
      <c r="S70" s="88"/>
      <c r="T70" s="88"/>
      <c r="U70" s="88"/>
      <c r="V70" s="88">
        <v>154950711</v>
      </c>
      <c r="W70" s="88">
        <f t="shared" si="6"/>
        <v>173544796.32000002</v>
      </c>
      <c r="X70" s="82"/>
      <c r="Y70" s="17">
        <v>2012</v>
      </c>
      <c r="Z70" s="82"/>
      <c r="AD70"/>
      <c r="AE70"/>
      <c r="AF70"/>
      <c r="AG70"/>
    </row>
    <row r="71" spans="2:33" ht="30.75" customHeight="1" x14ac:dyDescent="0.25">
      <c r="B71" s="82" t="s">
        <v>221</v>
      </c>
      <c r="C71" s="19" t="s">
        <v>2</v>
      </c>
      <c r="D71" s="97" t="s">
        <v>212</v>
      </c>
      <c r="E71" s="98" t="s">
        <v>182</v>
      </c>
      <c r="F71" s="98" t="s">
        <v>213</v>
      </c>
      <c r="G71" s="149" t="s">
        <v>219</v>
      </c>
      <c r="H71" s="40" t="s">
        <v>3</v>
      </c>
      <c r="I71" s="82">
        <v>0</v>
      </c>
      <c r="J71" s="150" t="s">
        <v>1027</v>
      </c>
      <c r="K71" s="82" t="s">
        <v>14</v>
      </c>
      <c r="L71" s="82"/>
      <c r="M71" s="151" t="s">
        <v>220</v>
      </c>
      <c r="N71" s="82"/>
      <c r="O71" s="212">
        <v>72850000</v>
      </c>
      <c r="P71" s="212">
        <v>72850000</v>
      </c>
      <c r="Q71" s="212">
        <v>72850000</v>
      </c>
      <c r="R71" s="212">
        <v>72850000</v>
      </c>
      <c r="S71" s="212">
        <v>72850000</v>
      </c>
      <c r="T71" s="212">
        <v>72850000</v>
      </c>
      <c r="U71" s="88"/>
      <c r="V71" s="88">
        <v>728500000</v>
      </c>
      <c r="W71" s="28">
        <f t="shared" si="6"/>
        <v>815920000.00000012</v>
      </c>
      <c r="X71" s="82"/>
      <c r="Y71" s="17">
        <v>2012</v>
      </c>
      <c r="Z71" s="82"/>
      <c r="AD71"/>
      <c r="AE71"/>
      <c r="AF71"/>
      <c r="AG71"/>
    </row>
    <row r="72" spans="2:33" ht="30.75" customHeight="1" x14ac:dyDescent="0.25">
      <c r="B72" s="82" t="s">
        <v>227</v>
      </c>
      <c r="C72" s="19" t="s">
        <v>2</v>
      </c>
      <c r="D72" s="86" t="s">
        <v>204</v>
      </c>
      <c r="E72" s="86" t="s">
        <v>205</v>
      </c>
      <c r="F72" s="86" t="s">
        <v>205</v>
      </c>
      <c r="G72" s="82" t="s">
        <v>222</v>
      </c>
      <c r="H72" s="40" t="s">
        <v>95</v>
      </c>
      <c r="I72" s="82">
        <v>0</v>
      </c>
      <c r="J72" s="152" t="s">
        <v>1028</v>
      </c>
      <c r="K72" s="55" t="s">
        <v>41</v>
      </c>
      <c r="L72" s="82"/>
      <c r="M72" s="82" t="s">
        <v>223</v>
      </c>
      <c r="N72" s="82"/>
      <c r="O72" s="147">
        <v>1078246259.0899999</v>
      </c>
      <c r="P72" s="147">
        <v>767395300.21000004</v>
      </c>
      <c r="Q72" s="147">
        <v>840139097.49000001</v>
      </c>
      <c r="R72" s="147">
        <v>944457008.88</v>
      </c>
      <c r="S72" s="147">
        <v>966662334.33000004</v>
      </c>
      <c r="T72" s="147"/>
      <c r="U72" s="88"/>
      <c r="V72" s="147">
        <v>4596900000</v>
      </c>
      <c r="W72" s="28">
        <f t="shared" si="6"/>
        <v>5148528000.000001</v>
      </c>
      <c r="X72" s="82"/>
      <c r="Y72" s="17">
        <v>2013</v>
      </c>
      <c r="Z72" s="82"/>
      <c r="AD72"/>
      <c r="AE72"/>
      <c r="AF72"/>
      <c r="AG72"/>
    </row>
    <row r="73" spans="2:33" ht="30.75" customHeight="1" x14ac:dyDescent="0.25">
      <c r="B73" s="82" t="s">
        <v>224</v>
      </c>
      <c r="C73" s="19" t="s">
        <v>2</v>
      </c>
      <c r="D73" s="154" t="s">
        <v>181</v>
      </c>
      <c r="E73" s="155" t="s">
        <v>182</v>
      </c>
      <c r="F73" s="155" t="s">
        <v>992</v>
      </c>
      <c r="G73" s="156" t="s">
        <v>225</v>
      </c>
      <c r="H73" s="40" t="s">
        <v>95</v>
      </c>
      <c r="I73" s="82">
        <v>0</v>
      </c>
      <c r="J73" s="152" t="s">
        <v>1029</v>
      </c>
      <c r="K73" s="55" t="s">
        <v>41</v>
      </c>
      <c r="L73" s="82"/>
      <c r="M73" s="82" t="s">
        <v>34</v>
      </c>
      <c r="N73" s="82"/>
      <c r="O73" s="147">
        <v>37500000</v>
      </c>
      <c r="P73" s="147">
        <v>112500000</v>
      </c>
      <c r="Q73" s="147"/>
      <c r="R73" s="147"/>
      <c r="S73" s="147"/>
      <c r="T73" s="147"/>
      <c r="U73" s="88"/>
      <c r="V73" s="147">
        <v>150000000</v>
      </c>
      <c r="W73" s="28">
        <f t="shared" si="6"/>
        <v>168000000.00000003</v>
      </c>
      <c r="X73" s="82"/>
      <c r="Y73" s="17">
        <v>2013</v>
      </c>
      <c r="Z73" s="82"/>
      <c r="AD73"/>
      <c r="AE73"/>
      <c r="AF73"/>
      <c r="AG73"/>
    </row>
    <row r="74" spans="2:33" ht="30.75" customHeight="1" x14ac:dyDescent="0.25">
      <c r="B74" s="82" t="s">
        <v>360</v>
      </c>
      <c r="C74" s="19" t="s">
        <v>2</v>
      </c>
      <c r="D74" s="202" t="s">
        <v>361</v>
      </c>
      <c r="E74" s="202" t="s">
        <v>362</v>
      </c>
      <c r="F74" s="202" t="s">
        <v>363</v>
      </c>
      <c r="G74" s="202" t="s">
        <v>364</v>
      </c>
      <c r="H74" s="201" t="s">
        <v>95</v>
      </c>
      <c r="I74" s="201">
        <v>0</v>
      </c>
      <c r="J74" s="203" t="s">
        <v>1030</v>
      </c>
      <c r="K74" s="55" t="s">
        <v>41</v>
      </c>
      <c r="L74" s="201"/>
      <c r="M74" s="82" t="s">
        <v>223</v>
      </c>
      <c r="N74" s="201"/>
      <c r="O74" s="204"/>
      <c r="P74" s="204">
        <v>115820000</v>
      </c>
      <c r="Q74" s="204">
        <v>197338080</v>
      </c>
      <c r="R74" s="204">
        <v>136428480</v>
      </c>
      <c r="S74" s="204">
        <v>121984000</v>
      </c>
      <c r="T74" s="204">
        <v>92000000</v>
      </c>
      <c r="U74" s="204"/>
      <c r="V74" s="204">
        <v>663570560</v>
      </c>
      <c r="W74" s="28">
        <f t="shared" si="6"/>
        <v>743199027.20000005</v>
      </c>
      <c r="X74" s="153"/>
      <c r="Y74" s="135">
        <v>2014</v>
      </c>
      <c r="Z74" s="153"/>
      <c r="AD74"/>
      <c r="AE74"/>
      <c r="AF74"/>
      <c r="AG74"/>
    </row>
    <row r="75" spans="2:33" s="213" customFormat="1" ht="48" customHeight="1" x14ac:dyDescent="0.25">
      <c r="B75" s="82" t="s">
        <v>932</v>
      </c>
      <c r="C75" s="82" t="s">
        <v>2</v>
      </c>
      <c r="D75" s="82" t="s">
        <v>181</v>
      </c>
      <c r="E75" s="82" t="s">
        <v>182</v>
      </c>
      <c r="F75" s="155" t="s">
        <v>992</v>
      </c>
      <c r="G75" s="82" t="s">
        <v>693</v>
      </c>
      <c r="H75" s="82" t="s">
        <v>95</v>
      </c>
      <c r="I75" s="131">
        <v>0</v>
      </c>
      <c r="J75" s="132" t="s">
        <v>1031</v>
      </c>
      <c r="K75" s="132" t="s">
        <v>694</v>
      </c>
      <c r="L75" s="220"/>
      <c r="M75" s="146" t="s">
        <v>695</v>
      </c>
      <c r="N75" s="219"/>
      <c r="O75" s="172"/>
      <c r="P75" s="172">
        <v>158842552</v>
      </c>
      <c r="Q75" s="172">
        <v>712911148</v>
      </c>
      <c r="R75" s="172">
        <v>411367463</v>
      </c>
      <c r="S75" s="172">
        <v>442774972</v>
      </c>
      <c r="T75" s="172">
        <v>438408199</v>
      </c>
      <c r="U75" s="217"/>
      <c r="V75" s="172">
        <v>2164304335</v>
      </c>
      <c r="W75" s="172">
        <f t="shared" si="6"/>
        <v>2424020855.2000003</v>
      </c>
      <c r="X75" s="214"/>
      <c r="Y75" s="135">
        <v>2014</v>
      </c>
      <c r="Z75" s="232"/>
      <c r="AD75" s="233"/>
      <c r="AE75" s="233"/>
      <c r="AF75" s="233"/>
      <c r="AG75" s="233"/>
    </row>
    <row r="76" spans="2:33" s="213" customFormat="1" ht="48" customHeight="1" x14ac:dyDescent="0.25">
      <c r="B76" s="82" t="s">
        <v>933</v>
      </c>
      <c r="C76" s="82" t="s">
        <v>2</v>
      </c>
      <c r="D76" s="82" t="s">
        <v>181</v>
      </c>
      <c r="E76" s="82" t="s">
        <v>182</v>
      </c>
      <c r="F76" s="155" t="s">
        <v>992</v>
      </c>
      <c r="G76" s="82" t="s">
        <v>696</v>
      </c>
      <c r="H76" s="82" t="s">
        <v>95</v>
      </c>
      <c r="I76" s="131">
        <v>0</v>
      </c>
      <c r="J76" s="132" t="s">
        <v>1031</v>
      </c>
      <c r="K76" s="132" t="s">
        <v>694</v>
      </c>
      <c r="L76" s="220"/>
      <c r="M76" s="146" t="s">
        <v>695</v>
      </c>
      <c r="N76" s="219"/>
      <c r="O76" s="172"/>
      <c r="P76" s="172"/>
      <c r="Q76" s="172">
        <v>277813622.75522077</v>
      </c>
      <c r="R76" s="172">
        <v>555627245.51044154</v>
      </c>
      <c r="S76" s="172">
        <v>367217805.37022674</v>
      </c>
      <c r="T76" s="172">
        <v>848604250.68541431</v>
      </c>
      <c r="U76" s="217"/>
      <c r="V76" s="172">
        <v>2049262924</v>
      </c>
      <c r="W76" s="172">
        <f t="shared" si="6"/>
        <v>2295174474.8800001</v>
      </c>
      <c r="X76" s="214"/>
      <c r="Y76" s="135">
        <v>2014</v>
      </c>
      <c r="Z76" s="232"/>
      <c r="AD76" s="233"/>
      <c r="AE76" s="233"/>
      <c r="AF76" s="233"/>
      <c r="AG76" s="233"/>
    </row>
    <row r="77" spans="2:33" s="213" customFormat="1" ht="54.75" customHeight="1" x14ac:dyDescent="0.25">
      <c r="B77" s="82" t="s">
        <v>1102</v>
      </c>
      <c r="C77" s="82" t="s">
        <v>2</v>
      </c>
      <c r="D77" s="321" t="s">
        <v>181</v>
      </c>
      <c r="E77" s="321" t="s">
        <v>182</v>
      </c>
      <c r="F77" s="321" t="s">
        <v>992</v>
      </c>
      <c r="G77" s="82" t="s">
        <v>1103</v>
      </c>
      <c r="H77" s="82" t="s">
        <v>95</v>
      </c>
      <c r="I77" s="131">
        <v>0</v>
      </c>
      <c r="J77" s="132" t="s">
        <v>1296</v>
      </c>
      <c r="K77" s="322" t="s">
        <v>1104</v>
      </c>
      <c r="L77" s="220"/>
      <c r="M77" s="321" t="s">
        <v>1105</v>
      </c>
      <c r="N77" s="219"/>
      <c r="O77" s="172"/>
      <c r="P77" s="172">
        <v>190652992</v>
      </c>
      <c r="Q77" s="172">
        <v>149757500</v>
      </c>
      <c r="R77" s="172">
        <v>421401890</v>
      </c>
      <c r="S77" s="172"/>
      <c r="T77" s="172"/>
      <c r="U77" s="217"/>
      <c r="V77" s="172">
        <v>0</v>
      </c>
      <c r="W77" s="172">
        <f t="shared" ref="W77" si="7">V77*1.12</f>
        <v>0</v>
      </c>
      <c r="X77" s="214"/>
      <c r="Y77" s="135">
        <v>2014</v>
      </c>
      <c r="Z77" s="352" t="s">
        <v>996</v>
      </c>
      <c r="AD77" s="233"/>
      <c r="AE77" s="233"/>
      <c r="AF77" s="233"/>
      <c r="AG77" s="233"/>
    </row>
    <row r="78" spans="2:33" s="213" customFormat="1" ht="54.75" customHeight="1" x14ac:dyDescent="0.25">
      <c r="B78" s="82" t="s">
        <v>1109</v>
      </c>
      <c r="C78" s="82" t="s">
        <v>2</v>
      </c>
      <c r="D78" s="323" t="s">
        <v>204</v>
      </c>
      <c r="E78" s="323" t="s">
        <v>205</v>
      </c>
      <c r="F78" s="323" t="s">
        <v>205</v>
      </c>
      <c r="G78" s="276" t="s">
        <v>1111</v>
      </c>
      <c r="H78" s="82" t="s">
        <v>95</v>
      </c>
      <c r="I78" s="131">
        <v>0</v>
      </c>
      <c r="J78" s="132" t="s">
        <v>1015</v>
      </c>
      <c r="K78" s="55" t="s">
        <v>41</v>
      </c>
      <c r="L78" s="220"/>
      <c r="M78" s="324" t="s">
        <v>1113</v>
      </c>
      <c r="N78" s="219"/>
      <c r="O78" s="325">
        <v>0</v>
      </c>
      <c r="P78" s="325">
        <v>0</v>
      </c>
      <c r="Q78" s="325">
        <v>0</v>
      </c>
      <c r="R78" s="325">
        <v>0</v>
      </c>
      <c r="S78" s="325">
        <v>0</v>
      </c>
      <c r="T78" s="172"/>
      <c r="U78" s="217"/>
      <c r="V78" s="172">
        <v>0</v>
      </c>
      <c r="W78" s="172">
        <f t="shared" ref="W78:W79" si="8">V78*1.12</f>
        <v>0</v>
      </c>
      <c r="X78" s="214"/>
      <c r="Y78" s="135">
        <v>2014</v>
      </c>
      <c r="Z78" s="352" t="s">
        <v>1164</v>
      </c>
      <c r="AD78" s="233"/>
      <c r="AE78" s="233"/>
      <c r="AF78" s="233"/>
      <c r="AG78" s="233"/>
    </row>
    <row r="79" spans="2:33" s="213" customFormat="1" ht="54.75" customHeight="1" x14ac:dyDescent="0.25">
      <c r="B79" s="82" t="s">
        <v>1110</v>
      </c>
      <c r="C79" s="82" t="s">
        <v>2</v>
      </c>
      <c r="D79" s="326" t="s">
        <v>204</v>
      </c>
      <c r="E79" s="326" t="s">
        <v>205</v>
      </c>
      <c r="F79" s="326" t="s">
        <v>205</v>
      </c>
      <c r="G79" s="288" t="s">
        <v>1112</v>
      </c>
      <c r="H79" s="82" t="s">
        <v>95</v>
      </c>
      <c r="I79" s="131">
        <v>0</v>
      </c>
      <c r="J79" s="132" t="s">
        <v>1015</v>
      </c>
      <c r="K79" s="176" t="s">
        <v>41</v>
      </c>
      <c r="L79" s="220"/>
      <c r="M79" s="330" t="s">
        <v>1113</v>
      </c>
      <c r="N79" s="219"/>
      <c r="O79" s="334">
        <v>0</v>
      </c>
      <c r="P79" s="334">
        <v>0</v>
      </c>
      <c r="Q79" s="334">
        <v>0</v>
      </c>
      <c r="R79" s="334">
        <v>0</v>
      </c>
      <c r="S79" s="334">
        <v>0</v>
      </c>
      <c r="T79" s="172"/>
      <c r="U79" s="217"/>
      <c r="V79" s="292">
        <v>0</v>
      </c>
      <c r="W79" s="172">
        <f t="shared" si="8"/>
        <v>0</v>
      </c>
      <c r="X79" s="214"/>
      <c r="Y79" s="135">
        <v>2014</v>
      </c>
      <c r="Z79" s="352" t="s">
        <v>1164</v>
      </c>
      <c r="AD79" s="233"/>
      <c r="AE79" s="233"/>
      <c r="AF79" s="233"/>
      <c r="AG79" s="233"/>
    </row>
    <row r="80" spans="2:33" s="213" customFormat="1" ht="54.75" customHeight="1" x14ac:dyDescent="0.25">
      <c r="B80" s="82" t="s">
        <v>1163</v>
      </c>
      <c r="C80" s="82" t="s">
        <v>2</v>
      </c>
      <c r="D80" s="326" t="s">
        <v>204</v>
      </c>
      <c r="E80" s="326" t="s">
        <v>205</v>
      </c>
      <c r="F80" s="326" t="s">
        <v>205</v>
      </c>
      <c r="G80" s="288" t="s">
        <v>1347</v>
      </c>
      <c r="H80" s="82" t="s">
        <v>95</v>
      </c>
      <c r="I80" s="131">
        <v>0</v>
      </c>
      <c r="J80" s="132" t="s">
        <v>1015</v>
      </c>
      <c r="K80" s="176" t="s">
        <v>41</v>
      </c>
      <c r="L80" s="220"/>
      <c r="M80" s="330" t="s">
        <v>1113</v>
      </c>
      <c r="N80" s="219"/>
      <c r="O80" s="334">
        <v>2664000000</v>
      </c>
      <c r="P80" s="334">
        <v>0</v>
      </c>
      <c r="Q80" s="334">
        <v>2664000000</v>
      </c>
      <c r="R80" s="334">
        <v>1776000000</v>
      </c>
      <c r="S80" s="334">
        <v>1776000000</v>
      </c>
      <c r="T80" s="172"/>
      <c r="U80" s="217"/>
      <c r="V80" s="334">
        <v>8880000000</v>
      </c>
      <c r="W80" s="172">
        <f t="shared" ref="W80" si="9">V80*1.12</f>
        <v>9945600000</v>
      </c>
      <c r="X80" s="214"/>
      <c r="Y80" s="135">
        <v>2014</v>
      </c>
      <c r="Z80" s="232"/>
      <c r="AD80" s="233"/>
      <c r="AE80" s="233"/>
      <c r="AF80" s="233"/>
      <c r="AG80" s="233"/>
    </row>
    <row r="81" spans="2:37" s="213" customFormat="1" ht="54.75" customHeight="1" x14ac:dyDescent="0.25">
      <c r="B81" s="82" t="s">
        <v>1114</v>
      </c>
      <c r="C81" s="82" t="s">
        <v>2</v>
      </c>
      <c r="D81" s="327" t="s">
        <v>1116</v>
      </c>
      <c r="E81" s="327" t="s">
        <v>1117</v>
      </c>
      <c r="F81" s="327" t="s">
        <v>1117</v>
      </c>
      <c r="G81" s="327" t="s">
        <v>1118</v>
      </c>
      <c r="H81" s="103" t="s">
        <v>95</v>
      </c>
      <c r="I81" s="131">
        <v>0</v>
      </c>
      <c r="J81" s="132" t="s">
        <v>1296</v>
      </c>
      <c r="K81" s="329" t="s">
        <v>1120</v>
      </c>
      <c r="L81" s="328"/>
      <c r="M81" s="327" t="s">
        <v>1121</v>
      </c>
      <c r="N81" s="332"/>
      <c r="O81" s="325">
        <v>137085830</v>
      </c>
      <c r="P81" s="325">
        <v>172685638</v>
      </c>
      <c r="Q81" s="325">
        <v>176830094</v>
      </c>
      <c r="R81" s="325">
        <v>192717172</v>
      </c>
      <c r="S81" s="325">
        <v>190644945</v>
      </c>
      <c r="T81" s="333"/>
      <c r="U81" s="335"/>
      <c r="V81" s="204">
        <v>869963679</v>
      </c>
      <c r="W81" s="333">
        <f t="shared" ref="W81:W83" si="10">V81*1.12</f>
        <v>974359320.48000014</v>
      </c>
      <c r="X81" s="214"/>
      <c r="Y81" s="135">
        <v>2014</v>
      </c>
      <c r="Z81" s="232"/>
      <c r="AD81" s="233"/>
      <c r="AE81" s="233"/>
      <c r="AF81" s="233"/>
      <c r="AG81" s="233"/>
    </row>
    <row r="82" spans="2:37" s="213" customFormat="1" ht="54.75" customHeight="1" x14ac:dyDescent="0.25">
      <c r="B82" s="82" t="s">
        <v>1115</v>
      </c>
      <c r="C82" s="82" t="s">
        <v>2</v>
      </c>
      <c r="D82" s="327" t="s">
        <v>1116</v>
      </c>
      <c r="E82" s="327" t="s">
        <v>1117</v>
      </c>
      <c r="F82" s="327" t="s">
        <v>1117</v>
      </c>
      <c r="G82" s="327" t="s">
        <v>1119</v>
      </c>
      <c r="H82" s="103" t="s">
        <v>95</v>
      </c>
      <c r="I82" s="131">
        <v>0</v>
      </c>
      <c r="J82" s="132" t="s">
        <v>1296</v>
      </c>
      <c r="K82" s="329" t="s">
        <v>1120</v>
      </c>
      <c r="L82" s="328"/>
      <c r="M82" s="331" t="s">
        <v>1121</v>
      </c>
      <c r="N82" s="332"/>
      <c r="O82" s="325">
        <v>47936386</v>
      </c>
      <c r="P82" s="204">
        <v>75011566</v>
      </c>
      <c r="Q82" s="204">
        <v>76165590</v>
      </c>
      <c r="R82" s="204">
        <v>76165590</v>
      </c>
      <c r="S82" s="204">
        <v>76165590</v>
      </c>
      <c r="T82" s="333"/>
      <c r="U82" s="335"/>
      <c r="V82" s="204">
        <f>SUM(O82:S82)</f>
        <v>351444722</v>
      </c>
      <c r="W82" s="333">
        <f t="shared" ref="W82" si="11">V82*1.12</f>
        <v>393618088.64000005</v>
      </c>
      <c r="X82" s="214"/>
      <c r="Y82" s="135">
        <v>2014</v>
      </c>
      <c r="Z82" s="232"/>
      <c r="AD82" s="233"/>
      <c r="AE82" s="233"/>
      <c r="AF82" s="233"/>
      <c r="AG82" s="233"/>
    </row>
    <row r="83" spans="2:37" s="213" customFormat="1" ht="54.75" customHeight="1" x14ac:dyDescent="0.25">
      <c r="B83" s="82" t="s">
        <v>1486</v>
      </c>
      <c r="C83" s="82" t="s">
        <v>2</v>
      </c>
      <c r="D83" s="327" t="s">
        <v>181</v>
      </c>
      <c r="E83" s="327" t="s">
        <v>182</v>
      </c>
      <c r="F83" s="327" t="s">
        <v>992</v>
      </c>
      <c r="G83" s="327" t="s">
        <v>1487</v>
      </c>
      <c r="H83" s="327" t="s">
        <v>95</v>
      </c>
      <c r="I83" s="441">
        <v>0</v>
      </c>
      <c r="J83" s="132" t="s">
        <v>1033</v>
      </c>
      <c r="K83" s="329" t="s">
        <v>1488</v>
      </c>
      <c r="L83" s="328"/>
      <c r="M83" s="331" t="s">
        <v>1489</v>
      </c>
      <c r="N83" s="332"/>
      <c r="O83" s="325">
        <v>740000</v>
      </c>
      <c r="P83" s="204">
        <v>3700000</v>
      </c>
      <c r="Q83" s="204">
        <v>3700000</v>
      </c>
      <c r="R83" s="204">
        <v>3700000</v>
      </c>
      <c r="S83" s="204">
        <v>3700000</v>
      </c>
      <c r="T83" s="333"/>
      <c r="U83" s="335"/>
      <c r="V83" s="204">
        <f>SUM(O83:S83)</f>
        <v>15540000</v>
      </c>
      <c r="W83" s="333">
        <f t="shared" si="10"/>
        <v>17404800</v>
      </c>
      <c r="X83" s="214"/>
      <c r="Y83" s="135">
        <v>2014</v>
      </c>
      <c r="Z83" s="232"/>
      <c r="AD83" s="233"/>
      <c r="AE83" s="233"/>
      <c r="AF83" s="233"/>
      <c r="AG83" s="233"/>
    </row>
    <row r="84" spans="2:37" x14ac:dyDescent="0.25">
      <c r="B84" s="128" t="s">
        <v>168</v>
      </c>
      <c r="C84" s="73"/>
      <c r="D84" s="90"/>
      <c r="E84" s="89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91">
        <f>SUM(V54:V83)</f>
        <v>26951258783.099998</v>
      </c>
      <c r="W84" s="76">
        <f>V84*1.12</f>
        <v>30185409837.072002</v>
      </c>
      <c r="X84" s="73"/>
      <c r="Y84" s="78"/>
      <c r="Z84" s="73"/>
      <c r="AD84"/>
      <c r="AE84"/>
      <c r="AF84"/>
      <c r="AG84"/>
    </row>
    <row r="85" spans="2:37" x14ac:dyDescent="0.25">
      <c r="B85" s="129" t="s">
        <v>228</v>
      </c>
      <c r="C85" s="93"/>
      <c r="D85" s="94"/>
      <c r="E85" s="92"/>
      <c r="F85" s="79"/>
      <c r="G85" s="80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95"/>
      <c r="W85" s="81"/>
      <c r="X85" s="79"/>
      <c r="Y85" s="96"/>
      <c r="Z85" s="79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</row>
    <row r="86" spans="2:37" s="111" customFormat="1" ht="33.75" customHeight="1" x14ac:dyDescent="0.25">
      <c r="B86" s="82" t="s">
        <v>341</v>
      </c>
      <c r="C86" s="82" t="s">
        <v>2</v>
      </c>
      <c r="D86" s="83" t="s">
        <v>229</v>
      </c>
      <c r="E86" s="42" t="s">
        <v>230</v>
      </c>
      <c r="F86" s="42" t="s">
        <v>230</v>
      </c>
      <c r="G86" s="82" t="s">
        <v>231</v>
      </c>
      <c r="H86" s="40" t="s">
        <v>3</v>
      </c>
      <c r="I86" s="82">
        <v>0</v>
      </c>
      <c r="J86" s="157" t="s">
        <v>986</v>
      </c>
      <c r="K86" s="55" t="s">
        <v>41</v>
      </c>
      <c r="L86" s="82"/>
      <c r="M86" s="55" t="s">
        <v>232</v>
      </c>
      <c r="N86" s="82"/>
      <c r="O86" s="158"/>
      <c r="P86" s="88">
        <v>1186056500</v>
      </c>
      <c r="Q86" s="88">
        <v>1186056500</v>
      </c>
      <c r="R86" s="88">
        <v>1186056500</v>
      </c>
      <c r="S86" s="88">
        <v>1186056500</v>
      </c>
      <c r="T86" s="159"/>
      <c r="U86" s="88"/>
      <c r="V86" s="88">
        <v>4744226000</v>
      </c>
      <c r="W86" s="28">
        <f t="shared" ref="W86:W96" si="12">V86*1.12</f>
        <v>5313533120.000001</v>
      </c>
      <c r="X86" s="82"/>
      <c r="Y86" s="82">
        <v>2013</v>
      </c>
      <c r="Z86" s="160" t="s">
        <v>352</v>
      </c>
    </row>
    <row r="87" spans="2:37" s="111" customFormat="1" ht="33.75" customHeight="1" x14ac:dyDescent="0.25">
      <c r="B87" s="82" t="s">
        <v>233</v>
      </c>
      <c r="C87" s="82" t="s">
        <v>2</v>
      </c>
      <c r="D87" s="83" t="s">
        <v>229</v>
      </c>
      <c r="E87" s="42" t="s">
        <v>230</v>
      </c>
      <c r="F87" s="42" t="s">
        <v>230</v>
      </c>
      <c r="G87" s="82" t="s">
        <v>231</v>
      </c>
      <c r="H87" s="40" t="s">
        <v>3</v>
      </c>
      <c r="I87" s="82">
        <v>0</v>
      </c>
      <c r="J87" s="157" t="s">
        <v>1009</v>
      </c>
      <c r="K87" s="55" t="s">
        <v>41</v>
      </c>
      <c r="L87" s="82"/>
      <c r="M87" s="55" t="s">
        <v>232</v>
      </c>
      <c r="N87" s="82"/>
      <c r="O87" s="88"/>
      <c r="P87" s="161">
        <v>2283271000</v>
      </c>
      <c r="Q87" s="161">
        <v>2283271000</v>
      </c>
      <c r="R87" s="161">
        <v>2283271000</v>
      </c>
      <c r="S87" s="161">
        <v>2283271000</v>
      </c>
      <c r="T87" s="161"/>
      <c r="U87" s="88"/>
      <c r="V87" s="161">
        <v>9133084000</v>
      </c>
      <c r="W87" s="28">
        <f t="shared" si="12"/>
        <v>10229054080.000002</v>
      </c>
      <c r="X87" s="82"/>
      <c r="Y87" s="82">
        <v>2013</v>
      </c>
      <c r="Z87" s="160" t="s">
        <v>352</v>
      </c>
      <c r="AA87"/>
      <c r="AB87"/>
      <c r="AC87"/>
      <c r="AD87"/>
      <c r="AE87"/>
      <c r="AF87"/>
      <c r="AG87"/>
      <c r="AH87"/>
      <c r="AI87"/>
      <c r="AJ87"/>
      <c r="AK87"/>
    </row>
    <row r="88" spans="2:37" ht="33.75" customHeight="1" x14ac:dyDescent="0.25">
      <c r="B88" s="82" t="s">
        <v>237</v>
      </c>
      <c r="C88" s="82" t="s">
        <v>2</v>
      </c>
      <c r="D88" s="83" t="s">
        <v>229</v>
      </c>
      <c r="E88" s="42" t="s">
        <v>230</v>
      </c>
      <c r="F88" s="42" t="s">
        <v>230</v>
      </c>
      <c r="G88" s="162" t="s">
        <v>234</v>
      </c>
      <c r="H88" s="40" t="s">
        <v>3</v>
      </c>
      <c r="I88" s="82">
        <v>0</v>
      </c>
      <c r="J88" s="157" t="s">
        <v>1009</v>
      </c>
      <c r="K88" s="55" t="s">
        <v>235</v>
      </c>
      <c r="L88" s="82"/>
      <c r="M88" s="55" t="s">
        <v>236</v>
      </c>
      <c r="N88" s="87"/>
      <c r="O88" s="88">
        <v>1441636203.0434799</v>
      </c>
      <c r="P88" s="88">
        <v>1729963443.6521759</v>
      </c>
      <c r="Q88" s="88">
        <v>1729963443.6521759</v>
      </c>
      <c r="R88" s="88">
        <v>1729963443.6521759</v>
      </c>
      <c r="S88" s="88"/>
      <c r="T88" s="88"/>
      <c r="U88" s="88"/>
      <c r="V88" s="88">
        <v>6631526534.0000076</v>
      </c>
      <c r="W88" s="28">
        <f t="shared" si="12"/>
        <v>7427309718.0800095</v>
      </c>
      <c r="X88" s="82"/>
      <c r="Y88" s="17">
        <v>2012</v>
      </c>
      <c r="Z88" s="82"/>
      <c r="AD88"/>
      <c r="AE88"/>
      <c r="AF88"/>
      <c r="AG88"/>
    </row>
    <row r="89" spans="2:37" ht="33.75" customHeight="1" x14ac:dyDescent="0.25">
      <c r="B89" s="82" t="s">
        <v>239</v>
      </c>
      <c r="C89" s="82" t="s">
        <v>2</v>
      </c>
      <c r="D89" s="83" t="s">
        <v>229</v>
      </c>
      <c r="E89" s="42" t="s">
        <v>230</v>
      </c>
      <c r="F89" s="42" t="s">
        <v>230</v>
      </c>
      <c r="G89" s="162" t="s">
        <v>238</v>
      </c>
      <c r="H89" s="40" t="s">
        <v>95</v>
      </c>
      <c r="I89" s="82">
        <v>0</v>
      </c>
      <c r="J89" s="55" t="s">
        <v>474</v>
      </c>
      <c r="K89" s="55" t="s">
        <v>235</v>
      </c>
      <c r="L89" s="82"/>
      <c r="M89" s="55" t="s">
        <v>236</v>
      </c>
      <c r="N89" s="87"/>
      <c r="O89" s="88">
        <v>438438596.36363602</v>
      </c>
      <c r="P89" s="88">
        <v>657657894.54545403</v>
      </c>
      <c r="Q89" s="88">
        <v>657657894.54545403</v>
      </c>
      <c r="R89" s="88">
        <v>657657894.54545403</v>
      </c>
      <c r="S89" s="88"/>
      <c r="T89" s="88"/>
      <c r="U89" s="88"/>
      <c r="V89" s="88">
        <v>2411412279.9999981</v>
      </c>
      <c r="W89" s="28">
        <f t="shared" si="12"/>
        <v>2700781753.599998</v>
      </c>
      <c r="X89" s="82"/>
      <c r="Y89" s="17">
        <v>2012</v>
      </c>
      <c r="Z89" s="82"/>
      <c r="AD89"/>
      <c r="AE89"/>
      <c r="AF89"/>
      <c r="AG89"/>
    </row>
    <row r="90" spans="2:37" ht="33.75" customHeight="1" x14ac:dyDescent="0.25">
      <c r="B90" s="82" t="s">
        <v>241</v>
      </c>
      <c r="C90" s="82" t="s">
        <v>2</v>
      </c>
      <c r="D90" s="83" t="s">
        <v>229</v>
      </c>
      <c r="E90" s="42" t="s">
        <v>230</v>
      </c>
      <c r="F90" s="42" t="s">
        <v>230</v>
      </c>
      <c r="G90" s="162" t="s">
        <v>240</v>
      </c>
      <c r="H90" s="40" t="s">
        <v>95</v>
      </c>
      <c r="I90" s="82">
        <v>0</v>
      </c>
      <c r="J90" s="55" t="s">
        <v>1026</v>
      </c>
      <c r="K90" s="55" t="s">
        <v>235</v>
      </c>
      <c r="L90" s="82"/>
      <c r="M90" s="55" t="s">
        <v>236</v>
      </c>
      <c r="N90" s="87"/>
      <c r="O90" s="88"/>
      <c r="P90" s="88">
        <v>646250000</v>
      </c>
      <c r="Q90" s="88">
        <v>705000000</v>
      </c>
      <c r="R90" s="88">
        <v>705000000</v>
      </c>
      <c r="S90" s="88">
        <v>705000000</v>
      </c>
      <c r="T90" s="88">
        <v>58750000</v>
      </c>
      <c r="U90" s="88"/>
      <c r="V90" s="16">
        <v>2820000000</v>
      </c>
      <c r="W90" s="28">
        <f t="shared" si="12"/>
        <v>3158400000.0000005</v>
      </c>
      <c r="X90" s="82"/>
      <c r="Y90" s="17">
        <v>2012</v>
      </c>
      <c r="Z90" s="82"/>
      <c r="AD90"/>
      <c r="AE90"/>
      <c r="AF90"/>
      <c r="AG90"/>
    </row>
    <row r="91" spans="2:37" ht="33.75" customHeight="1" x14ac:dyDescent="0.25">
      <c r="B91" s="82" t="s">
        <v>243</v>
      </c>
      <c r="C91" s="82" t="s">
        <v>2</v>
      </c>
      <c r="D91" s="83" t="s">
        <v>229</v>
      </c>
      <c r="E91" s="42" t="s">
        <v>230</v>
      </c>
      <c r="F91" s="42" t="s">
        <v>230</v>
      </c>
      <c r="G91" s="162" t="s">
        <v>242</v>
      </c>
      <c r="H91" s="40" t="s">
        <v>95</v>
      </c>
      <c r="I91" s="82">
        <v>0</v>
      </c>
      <c r="J91" s="55" t="s">
        <v>1026</v>
      </c>
      <c r="K91" s="55" t="s">
        <v>235</v>
      </c>
      <c r="L91" s="82"/>
      <c r="M91" s="55" t="s">
        <v>236</v>
      </c>
      <c r="N91" s="87"/>
      <c r="O91" s="88">
        <v>178125000</v>
      </c>
      <c r="P91" s="88">
        <v>712500000</v>
      </c>
      <c r="Q91" s="88">
        <v>712500000</v>
      </c>
      <c r="R91" s="88">
        <v>712500000</v>
      </c>
      <c r="S91" s="88">
        <v>712500000</v>
      </c>
      <c r="T91" s="88">
        <v>712500000</v>
      </c>
      <c r="U91" s="88"/>
      <c r="V91" s="16">
        <v>4275000000</v>
      </c>
      <c r="W91" s="28">
        <f t="shared" si="12"/>
        <v>4788000000</v>
      </c>
      <c r="X91" s="82"/>
      <c r="Y91" s="17">
        <v>2012</v>
      </c>
      <c r="Z91" s="82"/>
      <c r="AD91"/>
      <c r="AE91"/>
      <c r="AF91"/>
      <c r="AG91"/>
    </row>
    <row r="92" spans="2:37" ht="33.75" customHeight="1" x14ac:dyDescent="0.25">
      <c r="B92" s="82" t="s">
        <v>245</v>
      </c>
      <c r="C92" s="82" t="s">
        <v>2</v>
      </c>
      <c r="D92" s="83" t="s">
        <v>229</v>
      </c>
      <c r="E92" s="42" t="s">
        <v>230</v>
      </c>
      <c r="F92" s="42" t="s">
        <v>230</v>
      </c>
      <c r="G92" s="162" t="s">
        <v>244</v>
      </c>
      <c r="H92" s="40" t="s">
        <v>95</v>
      </c>
      <c r="I92" s="82">
        <v>0</v>
      </c>
      <c r="J92" s="55" t="s">
        <v>1026</v>
      </c>
      <c r="K92" s="55" t="s">
        <v>235</v>
      </c>
      <c r="L92" s="82"/>
      <c r="M92" s="55" t="s">
        <v>236</v>
      </c>
      <c r="N92" s="87"/>
      <c r="O92" s="88">
        <v>58750000</v>
      </c>
      <c r="P92" s="88">
        <v>705000000</v>
      </c>
      <c r="Q92" s="88">
        <v>705000000</v>
      </c>
      <c r="R92" s="88">
        <v>705000000</v>
      </c>
      <c r="S92" s="88">
        <v>646250000</v>
      </c>
      <c r="T92" s="88"/>
      <c r="U92" s="88"/>
      <c r="V92" s="16">
        <v>2820000000</v>
      </c>
      <c r="W92" s="28">
        <f t="shared" si="12"/>
        <v>3158400000.0000005</v>
      </c>
      <c r="X92" s="82"/>
      <c r="Y92" s="17">
        <v>2012</v>
      </c>
      <c r="Z92" s="82"/>
      <c r="AD92"/>
      <c r="AE92"/>
      <c r="AF92"/>
      <c r="AG92"/>
    </row>
    <row r="93" spans="2:37" ht="33.75" customHeight="1" x14ac:dyDescent="0.25">
      <c r="B93" s="82" t="s">
        <v>247</v>
      </c>
      <c r="C93" s="82" t="s">
        <v>2</v>
      </c>
      <c r="D93" s="83" t="s">
        <v>229</v>
      </c>
      <c r="E93" s="42" t="s">
        <v>230</v>
      </c>
      <c r="F93" s="42" t="s">
        <v>230</v>
      </c>
      <c r="G93" s="162" t="s">
        <v>246</v>
      </c>
      <c r="H93" s="40" t="s">
        <v>95</v>
      </c>
      <c r="I93" s="82">
        <v>0</v>
      </c>
      <c r="J93" s="55" t="s">
        <v>1025</v>
      </c>
      <c r="K93" s="55" t="s">
        <v>235</v>
      </c>
      <c r="L93" s="82"/>
      <c r="M93" s="55" t="s">
        <v>236</v>
      </c>
      <c r="N93" s="87"/>
      <c r="O93" s="88">
        <v>260055555</v>
      </c>
      <c r="P93" s="88">
        <v>624133332</v>
      </c>
      <c r="Q93" s="88">
        <v>624133332</v>
      </c>
      <c r="R93" s="88">
        <v>624133332</v>
      </c>
      <c r="S93" s="88">
        <v>208044444</v>
      </c>
      <c r="T93" s="88"/>
      <c r="U93" s="88"/>
      <c r="V93" s="16">
        <v>2340500000</v>
      </c>
      <c r="W93" s="28">
        <f t="shared" si="12"/>
        <v>2621360000.0000005</v>
      </c>
      <c r="X93" s="82"/>
      <c r="Y93" s="17">
        <v>2012</v>
      </c>
      <c r="Z93" s="82"/>
      <c r="AD93"/>
      <c r="AE93"/>
      <c r="AF93"/>
      <c r="AG93"/>
    </row>
    <row r="94" spans="2:37" ht="30.75" customHeight="1" x14ac:dyDescent="0.25">
      <c r="B94" s="82" t="s">
        <v>253</v>
      </c>
      <c r="C94" s="19" t="s">
        <v>2</v>
      </c>
      <c r="D94" s="83" t="s">
        <v>199</v>
      </c>
      <c r="E94" s="86" t="s">
        <v>200</v>
      </c>
      <c r="F94" s="82" t="s">
        <v>201</v>
      </c>
      <c r="G94" s="86" t="s">
        <v>202</v>
      </c>
      <c r="H94" s="40" t="s">
        <v>3</v>
      </c>
      <c r="I94" s="82">
        <v>0</v>
      </c>
      <c r="J94" s="55" t="s">
        <v>1025</v>
      </c>
      <c r="K94" s="82" t="s">
        <v>14</v>
      </c>
      <c r="L94" s="82"/>
      <c r="M94" s="82" t="s">
        <v>184</v>
      </c>
      <c r="N94" s="82"/>
      <c r="O94" s="88">
        <v>351281667</v>
      </c>
      <c r="P94" s="88">
        <v>351281667</v>
      </c>
      <c r="Q94" s="88">
        <v>351281667</v>
      </c>
      <c r="R94" s="88"/>
      <c r="S94" s="88"/>
      <c r="T94" s="88"/>
      <c r="U94" s="88"/>
      <c r="V94" s="88">
        <v>1053845001</v>
      </c>
      <c r="W94" s="88">
        <f t="shared" si="12"/>
        <v>1180306401.1200001</v>
      </c>
      <c r="X94" s="82"/>
      <c r="Y94" s="17">
        <v>2012</v>
      </c>
      <c r="Z94" s="82"/>
      <c r="AD94"/>
      <c r="AE94"/>
      <c r="AF94"/>
      <c r="AG94"/>
    </row>
    <row r="95" spans="2:37" ht="33.75" customHeight="1" x14ac:dyDescent="0.25">
      <c r="B95" s="82" t="s">
        <v>258</v>
      </c>
      <c r="C95" s="82" t="s">
        <v>2</v>
      </c>
      <c r="D95" s="83" t="s">
        <v>254</v>
      </c>
      <c r="E95" s="13" t="s">
        <v>255</v>
      </c>
      <c r="F95" s="13" t="s">
        <v>255</v>
      </c>
      <c r="G95" s="13" t="s">
        <v>256</v>
      </c>
      <c r="H95" s="100" t="s">
        <v>3</v>
      </c>
      <c r="I95" s="82">
        <v>0</v>
      </c>
      <c r="J95" s="13" t="s">
        <v>1023</v>
      </c>
      <c r="K95" s="101" t="s">
        <v>175</v>
      </c>
      <c r="L95" s="82"/>
      <c r="M95" s="55" t="s">
        <v>257</v>
      </c>
      <c r="N95" s="87"/>
      <c r="O95" s="88">
        <v>316470000</v>
      </c>
      <c r="P95" s="88"/>
      <c r="Q95" s="88"/>
      <c r="R95" s="88"/>
      <c r="S95" s="88"/>
      <c r="T95" s="88"/>
      <c r="U95" s="88"/>
      <c r="V95" s="87">
        <v>316470000</v>
      </c>
      <c r="W95" s="28">
        <f t="shared" si="12"/>
        <v>354446400.00000006</v>
      </c>
      <c r="X95" s="82"/>
      <c r="Y95" s="17">
        <v>2012</v>
      </c>
      <c r="Z95" s="82"/>
      <c r="AD95"/>
      <c r="AE95"/>
      <c r="AF95"/>
      <c r="AG95"/>
    </row>
    <row r="96" spans="2:37" ht="33.75" customHeight="1" x14ac:dyDescent="0.25">
      <c r="B96" s="82" t="s">
        <v>342</v>
      </c>
      <c r="C96" s="82" t="s">
        <v>2</v>
      </c>
      <c r="D96" s="82" t="s">
        <v>259</v>
      </c>
      <c r="E96" s="102" t="s">
        <v>260</v>
      </c>
      <c r="F96" s="102" t="s">
        <v>261</v>
      </c>
      <c r="G96" s="82" t="s">
        <v>262</v>
      </c>
      <c r="H96" s="103" t="s">
        <v>3</v>
      </c>
      <c r="I96" s="82">
        <v>0</v>
      </c>
      <c r="J96" s="13" t="s">
        <v>1024</v>
      </c>
      <c r="K96" s="82" t="s">
        <v>263</v>
      </c>
      <c r="L96" s="82"/>
      <c r="M96" s="55" t="s">
        <v>27</v>
      </c>
      <c r="N96" s="87"/>
      <c r="O96" s="88">
        <v>11302200</v>
      </c>
      <c r="P96" s="88">
        <v>11302200</v>
      </c>
      <c r="Q96" s="88"/>
      <c r="R96" s="88"/>
      <c r="S96" s="88"/>
      <c r="T96" s="88"/>
      <c r="U96" s="88"/>
      <c r="V96" s="88">
        <v>22604400</v>
      </c>
      <c r="W96" s="28">
        <f t="shared" si="12"/>
        <v>25316928.000000004</v>
      </c>
      <c r="X96" s="82"/>
      <c r="Y96" s="17">
        <v>2012</v>
      </c>
      <c r="Z96" s="82"/>
      <c r="AD96"/>
      <c r="AE96"/>
      <c r="AF96"/>
      <c r="AG96"/>
    </row>
    <row r="97" spans="2:37" ht="33.75" customHeight="1" x14ac:dyDescent="0.25">
      <c r="B97" s="82" t="s">
        <v>343</v>
      </c>
      <c r="C97" s="82" t="s">
        <v>2</v>
      </c>
      <c r="D97" s="83" t="s">
        <v>265</v>
      </c>
      <c r="E97" s="82" t="s">
        <v>266</v>
      </c>
      <c r="F97" s="82" t="s">
        <v>266</v>
      </c>
      <c r="G97" s="82" t="s">
        <v>267</v>
      </c>
      <c r="H97" s="85" t="s">
        <v>3</v>
      </c>
      <c r="I97" s="82">
        <v>0</v>
      </c>
      <c r="J97" s="162" t="s">
        <v>1025</v>
      </c>
      <c r="K97" s="82" t="s">
        <v>14</v>
      </c>
      <c r="L97" s="82"/>
      <c r="M97" s="55" t="s">
        <v>268</v>
      </c>
      <c r="N97" s="87"/>
      <c r="O97" s="88">
        <v>18488400</v>
      </c>
      <c r="P97" s="88">
        <v>18488400</v>
      </c>
      <c r="Q97" s="88">
        <v>18488400</v>
      </c>
      <c r="R97" s="88"/>
      <c r="S97" s="88"/>
      <c r="T97" s="88"/>
      <c r="U97" s="88"/>
      <c r="V97" s="88">
        <v>55465200</v>
      </c>
      <c r="W97" s="88">
        <f>V97*1.12</f>
        <v>62121024.000000007</v>
      </c>
      <c r="X97" s="82"/>
      <c r="Y97" s="17">
        <v>2012</v>
      </c>
      <c r="Z97" s="82"/>
      <c r="AD97"/>
      <c r="AE97"/>
      <c r="AF97"/>
      <c r="AG97"/>
    </row>
    <row r="98" spans="2:37" ht="33.75" customHeight="1" x14ac:dyDescent="0.25">
      <c r="B98" s="82" t="s">
        <v>344</v>
      </c>
      <c r="C98" s="82" t="s">
        <v>2</v>
      </c>
      <c r="D98" s="83" t="s">
        <v>265</v>
      </c>
      <c r="E98" s="82" t="s">
        <v>266</v>
      </c>
      <c r="F98" s="82" t="s">
        <v>266</v>
      </c>
      <c r="G98" s="82" t="s">
        <v>270</v>
      </c>
      <c r="H98" s="85" t="s">
        <v>3</v>
      </c>
      <c r="I98" s="82">
        <v>0</v>
      </c>
      <c r="J98" s="162" t="s">
        <v>1025</v>
      </c>
      <c r="K98" s="82" t="s">
        <v>14</v>
      </c>
      <c r="L98" s="82"/>
      <c r="M98" s="55" t="s">
        <v>268</v>
      </c>
      <c r="N98" s="87"/>
      <c r="O98" s="88">
        <v>22131468</v>
      </c>
      <c r="P98" s="88">
        <v>22131468</v>
      </c>
      <c r="Q98" s="88">
        <v>22131468</v>
      </c>
      <c r="R98" s="88"/>
      <c r="S98" s="88"/>
      <c r="T98" s="88"/>
      <c r="U98" s="88"/>
      <c r="V98" s="88">
        <v>66394404</v>
      </c>
      <c r="W98" s="88">
        <f t="shared" ref="W98:W122" si="13">V98*1.12</f>
        <v>74361732.480000004</v>
      </c>
      <c r="X98" s="82"/>
      <c r="Y98" s="17">
        <v>2012</v>
      </c>
      <c r="Z98" s="82"/>
      <c r="AD98"/>
      <c r="AE98"/>
      <c r="AF98"/>
      <c r="AG98"/>
    </row>
    <row r="99" spans="2:37" ht="33.75" customHeight="1" x14ac:dyDescent="0.25">
      <c r="B99" s="82" t="s">
        <v>264</v>
      </c>
      <c r="C99" s="82" t="s">
        <v>2</v>
      </c>
      <c r="D99" s="83" t="s">
        <v>265</v>
      </c>
      <c r="E99" s="82" t="s">
        <v>266</v>
      </c>
      <c r="F99" s="82" t="s">
        <v>266</v>
      </c>
      <c r="G99" s="82" t="s">
        <v>272</v>
      </c>
      <c r="H99" s="85" t="s">
        <v>3</v>
      </c>
      <c r="I99" s="82">
        <v>0</v>
      </c>
      <c r="J99" s="162" t="s">
        <v>1025</v>
      </c>
      <c r="K99" s="82" t="s">
        <v>14</v>
      </c>
      <c r="L99" s="82"/>
      <c r="M99" s="55" t="s">
        <v>268</v>
      </c>
      <c r="N99" s="87"/>
      <c r="O99" s="88">
        <v>76870803</v>
      </c>
      <c r="P99" s="88">
        <v>76870803</v>
      </c>
      <c r="Q99" s="88">
        <v>76870803</v>
      </c>
      <c r="R99" s="88"/>
      <c r="S99" s="88"/>
      <c r="T99" s="88"/>
      <c r="U99" s="88"/>
      <c r="V99" s="88">
        <v>230612409</v>
      </c>
      <c r="W99" s="88">
        <f t="shared" si="13"/>
        <v>258285898.08000001</v>
      </c>
      <c r="X99" s="82"/>
      <c r="Y99" s="17">
        <v>2012</v>
      </c>
      <c r="Z99" s="82"/>
      <c r="AD99"/>
      <c r="AE99"/>
      <c r="AF99"/>
      <c r="AG99"/>
    </row>
    <row r="100" spans="2:37" ht="33.75" customHeight="1" x14ac:dyDescent="0.25">
      <c r="B100" s="82" t="s">
        <v>269</v>
      </c>
      <c r="C100" s="82" t="s">
        <v>2</v>
      </c>
      <c r="D100" s="83" t="s">
        <v>265</v>
      </c>
      <c r="E100" s="82" t="s">
        <v>266</v>
      </c>
      <c r="F100" s="82" t="s">
        <v>266</v>
      </c>
      <c r="G100" s="82" t="s">
        <v>274</v>
      </c>
      <c r="H100" s="85" t="s">
        <v>3</v>
      </c>
      <c r="I100" s="82">
        <v>0</v>
      </c>
      <c r="J100" s="162" t="s">
        <v>1025</v>
      </c>
      <c r="K100" s="82" t="s">
        <v>14</v>
      </c>
      <c r="L100" s="82"/>
      <c r="M100" s="82" t="s">
        <v>268</v>
      </c>
      <c r="N100" s="87"/>
      <c r="O100" s="88">
        <v>32305203</v>
      </c>
      <c r="P100" s="88">
        <v>32305203</v>
      </c>
      <c r="Q100" s="88">
        <v>32305203</v>
      </c>
      <c r="R100" s="88"/>
      <c r="S100" s="88"/>
      <c r="T100" s="88"/>
      <c r="U100" s="88"/>
      <c r="V100" s="88">
        <v>96915609</v>
      </c>
      <c r="W100" s="88">
        <f t="shared" si="13"/>
        <v>108545482.08000001</v>
      </c>
      <c r="X100" s="82"/>
      <c r="Y100" s="17">
        <v>2012</v>
      </c>
      <c r="Z100" s="82"/>
      <c r="AD100"/>
      <c r="AE100"/>
      <c r="AF100"/>
      <c r="AG100"/>
    </row>
    <row r="101" spans="2:37" ht="33.75" customHeight="1" x14ac:dyDescent="0.25">
      <c r="B101" s="82" t="s">
        <v>271</v>
      </c>
      <c r="C101" s="82" t="s">
        <v>2</v>
      </c>
      <c r="D101" s="83" t="s">
        <v>276</v>
      </c>
      <c r="E101" s="82" t="s">
        <v>277</v>
      </c>
      <c r="F101" s="82" t="s">
        <v>277</v>
      </c>
      <c r="G101" s="82" t="s">
        <v>278</v>
      </c>
      <c r="H101" s="85" t="s">
        <v>3</v>
      </c>
      <c r="I101" s="82">
        <v>0</v>
      </c>
      <c r="J101" s="162" t="s">
        <v>1025</v>
      </c>
      <c r="K101" s="82" t="s">
        <v>14</v>
      </c>
      <c r="L101" s="82"/>
      <c r="M101" s="82" t="s">
        <v>268</v>
      </c>
      <c r="N101" s="87"/>
      <c r="O101" s="88">
        <v>243410295</v>
      </c>
      <c r="P101" s="88">
        <v>243410295</v>
      </c>
      <c r="Q101" s="88">
        <v>243410295</v>
      </c>
      <c r="R101" s="88"/>
      <c r="S101" s="88"/>
      <c r="T101" s="88"/>
      <c r="U101" s="88"/>
      <c r="V101" s="88">
        <v>730230885</v>
      </c>
      <c r="W101" s="88">
        <f t="shared" si="13"/>
        <v>817858591.20000005</v>
      </c>
      <c r="X101" s="82"/>
      <c r="Y101" s="17">
        <v>2012</v>
      </c>
      <c r="Z101" s="82"/>
      <c r="AD101"/>
      <c r="AE101"/>
      <c r="AF101"/>
      <c r="AG101"/>
    </row>
    <row r="102" spans="2:37" ht="33.75" customHeight="1" x14ac:dyDescent="0.25">
      <c r="B102" s="82" t="s">
        <v>273</v>
      </c>
      <c r="C102" s="82" t="s">
        <v>2</v>
      </c>
      <c r="D102" s="83" t="s">
        <v>276</v>
      </c>
      <c r="E102" s="82" t="s">
        <v>277</v>
      </c>
      <c r="F102" s="82" t="s">
        <v>277</v>
      </c>
      <c r="G102" s="82" t="s">
        <v>280</v>
      </c>
      <c r="H102" s="85" t="s">
        <v>3</v>
      </c>
      <c r="I102" s="82">
        <v>0</v>
      </c>
      <c r="J102" s="162" t="s">
        <v>1025</v>
      </c>
      <c r="K102" s="82" t="s">
        <v>14</v>
      </c>
      <c r="L102" s="82"/>
      <c r="M102" s="82" t="s">
        <v>268</v>
      </c>
      <c r="N102" s="87"/>
      <c r="O102" s="88">
        <v>1788646990</v>
      </c>
      <c r="P102" s="88">
        <v>1788646990</v>
      </c>
      <c r="Q102" s="88">
        <v>1788646990</v>
      </c>
      <c r="R102" s="88"/>
      <c r="S102" s="88"/>
      <c r="T102" s="88"/>
      <c r="U102" s="88"/>
      <c r="V102" s="88">
        <v>5365940970</v>
      </c>
      <c r="W102" s="88">
        <f t="shared" si="13"/>
        <v>6009853886.4000006</v>
      </c>
      <c r="X102" s="82"/>
      <c r="Y102" s="17">
        <v>2012</v>
      </c>
      <c r="Z102" s="82"/>
      <c r="AD102"/>
      <c r="AE102"/>
      <c r="AF102"/>
      <c r="AG102"/>
    </row>
    <row r="103" spans="2:37" ht="33.75" customHeight="1" x14ac:dyDescent="0.25">
      <c r="B103" s="82" t="s">
        <v>275</v>
      </c>
      <c r="C103" s="82" t="s">
        <v>2</v>
      </c>
      <c r="D103" s="83" t="s">
        <v>276</v>
      </c>
      <c r="E103" s="82" t="s">
        <v>277</v>
      </c>
      <c r="F103" s="82" t="s">
        <v>277</v>
      </c>
      <c r="G103" s="82" t="s">
        <v>282</v>
      </c>
      <c r="H103" s="85" t="s">
        <v>3</v>
      </c>
      <c r="I103" s="82">
        <v>0</v>
      </c>
      <c r="J103" s="162" t="s">
        <v>1025</v>
      </c>
      <c r="K103" s="82" t="s">
        <v>14</v>
      </c>
      <c r="L103" s="82"/>
      <c r="M103" s="82" t="s">
        <v>268</v>
      </c>
      <c r="N103" s="87"/>
      <c r="O103" s="88">
        <v>2325042418</v>
      </c>
      <c r="P103" s="88">
        <v>2325042418</v>
      </c>
      <c r="Q103" s="88">
        <v>2325042418</v>
      </c>
      <c r="R103" s="88"/>
      <c r="S103" s="88"/>
      <c r="T103" s="88"/>
      <c r="U103" s="88"/>
      <c r="V103" s="88">
        <v>6975127254</v>
      </c>
      <c r="W103" s="88">
        <f t="shared" si="13"/>
        <v>7812142524.4800005</v>
      </c>
      <c r="X103" s="82"/>
      <c r="Y103" s="17">
        <v>2012</v>
      </c>
      <c r="Z103" s="82"/>
      <c r="AD103"/>
      <c r="AE103"/>
      <c r="AF103"/>
      <c r="AG103"/>
    </row>
    <row r="104" spans="2:37" ht="33.75" customHeight="1" x14ac:dyDescent="0.25">
      <c r="B104" s="82" t="s">
        <v>279</v>
      </c>
      <c r="C104" s="82" t="s">
        <v>2</v>
      </c>
      <c r="D104" s="83" t="s">
        <v>276</v>
      </c>
      <c r="E104" s="82" t="s">
        <v>277</v>
      </c>
      <c r="F104" s="82" t="s">
        <v>277</v>
      </c>
      <c r="G104" s="82" t="s">
        <v>284</v>
      </c>
      <c r="H104" s="85" t="s">
        <v>3</v>
      </c>
      <c r="I104" s="82">
        <v>0</v>
      </c>
      <c r="J104" s="162" t="s">
        <v>1025</v>
      </c>
      <c r="K104" s="82" t="s">
        <v>14</v>
      </c>
      <c r="L104" s="82"/>
      <c r="M104" s="82" t="s">
        <v>268</v>
      </c>
      <c r="N104" s="87"/>
      <c r="O104" s="88">
        <v>696635048</v>
      </c>
      <c r="P104" s="88">
        <v>696635048</v>
      </c>
      <c r="Q104" s="88">
        <v>696635048</v>
      </c>
      <c r="R104" s="88"/>
      <c r="S104" s="88"/>
      <c r="T104" s="88"/>
      <c r="U104" s="88"/>
      <c r="V104" s="88">
        <v>2089905144</v>
      </c>
      <c r="W104" s="88">
        <f t="shared" si="13"/>
        <v>2340693761.2800002</v>
      </c>
      <c r="X104" s="82"/>
      <c r="Y104" s="17">
        <v>2012</v>
      </c>
      <c r="Z104" s="82"/>
      <c r="AD104"/>
      <c r="AE104"/>
      <c r="AF104"/>
      <c r="AG104"/>
    </row>
    <row r="105" spans="2:37" ht="33.75" customHeight="1" x14ac:dyDescent="0.25">
      <c r="B105" s="82" t="s">
        <v>281</v>
      </c>
      <c r="C105" s="82" t="s">
        <v>2</v>
      </c>
      <c r="D105" s="83" t="s">
        <v>286</v>
      </c>
      <c r="E105" s="82" t="s">
        <v>287</v>
      </c>
      <c r="F105" s="82" t="s">
        <v>287</v>
      </c>
      <c r="G105" s="82" t="s">
        <v>288</v>
      </c>
      <c r="H105" s="85" t="s">
        <v>3</v>
      </c>
      <c r="I105" s="82">
        <v>0</v>
      </c>
      <c r="J105" s="162" t="s">
        <v>1025</v>
      </c>
      <c r="K105" s="82" t="s">
        <v>14</v>
      </c>
      <c r="L105" s="82"/>
      <c r="M105" s="82" t="s">
        <v>268</v>
      </c>
      <c r="N105" s="87"/>
      <c r="O105" s="88">
        <v>4156377</v>
      </c>
      <c r="P105" s="88">
        <v>4156377</v>
      </c>
      <c r="Q105" s="88">
        <v>4156377</v>
      </c>
      <c r="R105" s="88"/>
      <c r="S105" s="88"/>
      <c r="T105" s="88"/>
      <c r="U105" s="88"/>
      <c r="V105" s="88">
        <v>12469131</v>
      </c>
      <c r="W105" s="88">
        <f t="shared" si="13"/>
        <v>13965426.720000001</v>
      </c>
      <c r="X105" s="82"/>
      <c r="Y105" s="17">
        <v>2012</v>
      </c>
      <c r="Z105" s="82"/>
      <c r="AD105"/>
      <c r="AE105"/>
      <c r="AF105"/>
      <c r="AG105"/>
    </row>
    <row r="106" spans="2:37" ht="33.75" customHeight="1" x14ac:dyDescent="0.25">
      <c r="B106" s="82" t="s">
        <v>283</v>
      </c>
      <c r="C106" s="82" t="s">
        <v>2</v>
      </c>
      <c r="D106" s="188" t="s">
        <v>290</v>
      </c>
      <c r="E106" s="86" t="s">
        <v>291</v>
      </c>
      <c r="F106" s="86" t="s">
        <v>292</v>
      </c>
      <c r="G106" s="82" t="s">
        <v>293</v>
      </c>
      <c r="H106" s="85" t="s">
        <v>3</v>
      </c>
      <c r="I106" s="82">
        <v>0</v>
      </c>
      <c r="J106" s="162" t="s">
        <v>1025</v>
      </c>
      <c r="K106" s="82" t="s">
        <v>14</v>
      </c>
      <c r="L106" s="82"/>
      <c r="M106" s="82" t="s">
        <v>268</v>
      </c>
      <c r="N106" s="87"/>
      <c r="O106" s="88">
        <v>162506960</v>
      </c>
      <c r="P106" s="88">
        <v>162506960</v>
      </c>
      <c r="Q106" s="88">
        <v>162506960</v>
      </c>
      <c r="R106" s="88"/>
      <c r="S106" s="88"/>
      <c r="T106" s="88"/>
      <c r="U106" s="88"/>
      <c r="V106" s="88">
        <v>487520880</v>
      </c>
      <c r="W106" s="88">
        <f t="shared" si="13"/>
        <v>546023385.60000002</v>
      </c>
      <c r="X106" s="82"/>
      <c r="Y106" s="17">
        <v>2012</v>
      </c>
      <c r="Z106" s="82"/>
      <c r="AD106"/>
      <c r="AE106"/>
      <c r="AF106"/>
      <c r="AG106"/>
    </row>
    <row r="107" spans="2:37" ht="33.75" customHeight="1" x14ac:dyDescent="0.25">
      <c r="B107" s="82" t="s">
        <v>285</v>
      </c>
      <c r="C107" s="82" t="s">
        <v>2</v>
      </c>
      <c r="D107" s="83" t="s">
        <v>295</v>
      </c>
      <c r="E107" s="82" t="s">
        <v>296</v>
      </c>
      <c r="F107" s="82" t="s">
        <v>296</v>
      </c>
      <c r="G107" s="82" t="s">
        <v>297</v>
      </c>
      <c r="H107" s="85" t="s">
        <v>3</v>
      </c>
      <c r="I107" s="82">
        <v>0</v>
      </c>
      <c r="J107" s="162" t="s">
        <v>1025</v>
      </c>
      <c r="K107" s="82" t="s">
        <v>14</v>
      </c>
      <c r="L107" s="82"/>
      <c r="M107" s="82" t="s">
        <v>268</v>
      </c>
      <c r="N107" s="87"/>
      <c r="O107" s="88">
        <v>1152526318</v>
      </c>
      <c r="P107" s="88">
        <v>1152526318</v>
      </c>
      <c r="Q107" s="88">
        <v>1152526318</v>
      </c>
      <c r="R107" s="88"/>
      <c r="S107" s="88"/>
      <c r="T107" s="88"/>
      <c r="U107" s="88"/>
      <c r="V107" s="88">
        <v>3457578954</v>
      </c>
      <c r="W107" s="88">
        <f t="shared" si="13"/>
        <v>3872488428.4800005</v>
      </c>
      <c r="X107" s="82"/>
      <c r="Y107" s="17">
        <v>2012</v>
      </c>
      <c r="Z107" s="82"/>
      <c r="AD107"/>
      <c r="AE107"/>
      <c r="AF107"/>
      <c r="AG107"/>
    </row>
    <row r="108" spans="2:37" ht="33.75" customHeight="1" x14ac:dyDescent="0.25">
      <c r="B108" s="82" t="s">
        <v>289</v>
      </c>
      <c r="C108" s="82" t="s">
        <v>2</v>
      </c>
      <c r="D108" s="83" t="s">
        <v>254</v>
      </c>
      <c r="E108" s="82" t="s">
        <v>255</v>
      </c>
      <c r="F108" s="82" t="s">
        <v>255</v>
      </c>
      <c r="G108" s="82" t="s">
        <v>299</v>
      </c>
      <c r="H108" s="85" t="s">
        <v>3</v>
      </c>
      <c r="I108" s="82">
        <v>0</v>
      </c>
      <c r="J108" s="162" t="s">
        <v>1025</v>
      </c>
      <c r="K108" s="82" t="s">
        <v>14</v>
      </c>
      <c r="L108" s="82"/>
      <c r="M108" s="82" t="s">
        <v>268</v>
      </c>
      <c r="N108" s="87"/>
      <c r="O108" s="88">
        <v>116422877</v>
      </c>
      <c r="P108" s="88">
        <v>116422877</v>
      </c>
      <c r="Q108" s="88">
        <v>116422877</v>
      </c>
      <c r="R108" s="88"/>
      <c r="S108" s="88"/>
      <c r="T108" s="88"/>
      <c r="U108" s="88"/>
      <c r="V108" s="88">
        <v>349268631</v>
      </c>
      <c r="W108" s="88">
        <f t="shared" si="13"/>
        <v>391180866.72000003</v>
      </c>
      <c r="X108" s="82"/>
      <c r="Y108" s="17">
        <v>2012</v>
      </c>
      <c r="Z108" s="82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</row>
    <row r="109" spans="2:37" s="111" customFormat="1" ht="33.75" customHeight="1" x14ac:dyDescent="0.25">
      <c r="B109" s="82" t="s">
        <v>294</v>
      </c>
      <c r="C109" s="82" t="s">
        <v>2</v>
      </c>
      <c r="D109" s="144" t="s">
        <v>300</v>
      </c>
      <c r="E109" s="145" t="s">
        <v>301</v>
      </c>
      <c r="F109" s="145" t="s">
        <v>302</v>
      </c>
      <c r="G109" s="163" t="s">
        <v>303</v>
      </c>
      <c r="H109" s="103" t="s">
        <v>3</v>
      </c>
      <c r="I109" s="82">
        <v>0</v>
      </c>
      <c r="J109" s="55" t="s">
        <v>1032</v>
      </c>
      <c r="K109" s="55" t="s">
        <v>41</v>
      </c>
      <c r="L109" s="82"/>
      <c r="M109" s="82" t="s">
        <v>220</v>
      </c>
      <c r="N109" s="87"/>
      <c r="O109" s="209"/>
      <c r="P109" s="88">
        <v>21960728</v>
      </c>
      <c r="Q109" s="88">
        <v>9850000</v>
      </c>
      <c r="R109" s="88">
        <v>9850000</v>
      </c>
      <c r="S109" s="88">
        <v>9850000</v>
      </c>
      <c r="T109" s="88">
        <v>9850000</v>
      </c>
      <c r="U109" s="88"/>
      <c r="V109" s="88">
        <v>61360728</v>
      </c>
      <c r="W109" s="28">
        <f t="shared" si="13"/>
        <v>68724015.359999999</v>
      </c>
      <c r="X109" s="164"/>
      <c r="Y109" s="17">
        <v>2013</v>
      </c>
      <c r="Z109" s="160" t="s">
        <v>352</v>
      </c>
      <c r="AA109"/>
      <c r="AB109"/>
      <c r="AC109"/>
      <c r="AD109"/>
      <c r="AE109"/>
      <c r="AF109"/>
      <c r="AG109"/>
      <c r="AH109"/>
      <c r="AI109"/>
      <c r="AJ109"/>
      <c r="AK109"/>
    </row>
    <row r="110" spans="2:37" ht="33.75" customHeight="1" x14ac:dyDescent="0.25">
      <c r="B110" s="82" t="s">
        <v>298</v>
      </c>
      <c r="C110" s="82" t="s">
        <v>2</v>
      </c>
      <c r="D110" s="104" t="s">
        <v>305</v>
      </c>
      <c r="E110" s="105" t="s">
        <v>306</v>
      </c>
      <c r="F110" s="105" t="s">
        <v>307</v>
      </c>
      <c r="G110" s="106" t="s">
        <v>308</v>
      </c>
      <c r="H110" s="85" t="s">
        <v>3</v>
      </c>
      <c r="I110" s="82">
        <v>0</v>
      </c>
      <c r="J110" s="107" t="s">
        <v>309</v>
      </c>
      <c r="K110" s="108" t="s">
        <v>310</v>
      </c>
      <c r="L110" s="82"/>
      <c r="M110" s="108" t="s">
        <v>311</v>
      </c>
      <c r="N110" s="87"/>
      <c r="O110" s="200">
        <v>16299227.189999999</v>
      </c>
      <c r="P110" s="88"/>
      <c r="Q110" s="88"/>
      <c r="R110" s="88"/>
      <c r="S110" s="88"/>
      <c r="T110" s="88"/>
      <c r="U110" s="88"/>
      <c r="V110" s="200">
        <v>16299227.189999999</v>
      </c>
      <c r="W110" s="28">
        <f t="shared" si="13"/>
        <v>18255134.452800002</v>
      </c>
      <c r="X110" s="82"/>
      <c r="Y110" s="17">
        <v>2013</v>
      </c>
      <c r="Z110" s="82"/>
      <c r="AD110"/>
      <c r="AE110"/>
      <c r="AF110"/>
      <c r="AG110"/>
    </row>
    <row r="111" spans="2:37" ht="33.75" customHeight="1" x14ac:dyDescent="0.25">
      <c r="B111" s="82" t="s">
        <v>345</v>
      </c>
      <c r="C111" s="82" t="s">
        <v>2</v>
      </c>
      <c r="D111" s="165" t="s">
        <v>305</v>
      </c>
      <c r="E111" s="166" t="s">
        <v>306</v>
      </c>
      <c r="F111" s="166" t="s">
        <v>307</v>
      </c>
      <c r="G111" s="167" t="s">
        <v>313</v>
      </c>
      <c r="H111" s="85" t="s">
        <v>3</v>
      </c>
      <c r="I111" s="82">
        <v>0</v>
      </c>
      <c r="J111" s="107" t="s">
        <v>309</v>
      </c>
      <c r="K111" s="168" t="s">
        <v>310</v>
      </c>
      <c r="L111" s="82"/>
      <c r="M111" s="168" t="s">
        <v>311</v>
      </c>
      <c r="N111" s="87"/>
      <c r="O111" s="88">
        <v>9819706.6600000001</v>
      </c>
      <c r="P111" s="88">
        <v>4909853.33</v>
      </c>
      <c r="Q111" s="88"/>
      <c r="R111" s="88"/>
      <c r="S111" s="88"/>
      <c r="T111" s="88"/>
      <c r="U111" s="88"/>
      <c r="V111" s="88">
        <v>14729560</v>
      </c>
      <c r="W111" s="28">
        <f t="shared" si="13"/>
        <v>16497107.200000001</v>
      </c>
      <c r="X111" s="82"/>
      <c r="Y111" s="17">
        <v>2013</v>
      </c>
      <c r="Z111" s="169"/>
      <c r="AD111"/>
      <c r="AE111"/>
      <c r="AF111"/>
      <c r="AG111"/>
    </row>
    <row r="112" spans="2:37" ht="33.75" customHeight="1" x14ac:dyDescent="0.25">
      <c r="B112" s="82" t="s">
        <v>346</v>
      </c>
      <c r="C112" s="82" t="s">
        <v>2</v>
      </c>
      <c r="D112" s="82" t="s">
        <v>295</v>
      </c>
      <c r="E112" s="82" t="s">
        <v>296</v>
      </c>
      <c r="F112" s="82" t="s">
        <v>296</v>
      </c>
      <c r="G112" s="82" t="s">
        <v>314</v>
      </c>
      <c r="H112" s="170" t="s">
        <v>95</v>
      </c>
      <c r="I112" s="130">
        <v>0</v>
      </c>
      <c r="J112" s="171" t="s">
        <v>1033</v>
      </c>
      <c r="K112" s="132" t="s">
        <v>315</v>
      </c>
      <c r="L112" s="82"/>
      <c r="M112" s="55" t="s">
        <v>316</v>
      </c>
      <c r="N112" s="83"/>
      <c r="O112" s="172">
        <v>3153846</v>
      </c>
      <c r="P112" s="172">
        <v>37846154</v>
      </c>
      <c r="Q112" s="172"/>
      <c r="R112" s="147"/>
      <c r="S112" s="173"/>
      <c r="T112" s="173"/>
      <c r="U112" s="88"/>
      <c r="V112" s="147">
        <v>41000000</v>
      </c>
      <c r="W112" s="28">
        <f t="shared" si="13"/>
        <v>45920000.000000007</v>
      </c>
      <c r="X112" s="82"/>
      <c r="Y112" s="82">
        <v>2013</v>
      </c>
      <c r="Z112" s="82"/>
      <c r="AD112"/>
      <c r="AE112"/>
      <c r="AF112"/>
      <c r="AG112"/>
    </row>
    <row r="113" spans="2:37" ht="33.75" customHeight="1" x14ac:dyDescent="0.25">
      <c r="B113" s="82" t="s">
        <v>304</v>
      </c>
      <c r="C113" s="82" t="s">
        <v>2</v>
      </c>
      <c r="D113" s="174" t="s">
        <v>317</v>
      </c>
      <c r="E113" s="160" t="s">
        <v>318</v>
      </c>
      <c r="F113" s="160" t="s">
        <v>319</v>
      </c>
      <c r="G113" s="82" t="s">
        <v>320</v>
      </c>
      <c r="H113" s="103" t="s">
        <v>3</v>
      </c>
      <c r="I113" s="82">
        <v>0</v>
      </c>
      <c r="J113" s="175" t="s">
        <v>1034</v>
      </c>
      <c r="K113" s="176" t="s">
        <v>321</v>
      </c>
      <c r="L113" s="82"/>
      <c r="M113" s="118" t="s">
        <v>322</v>
      </c>
      <c r="N113" s="82"/>
      <c r="O113" s="147">
        <v>25200000</v>
      </c>
      <c r="P113" s="147">
        <v>25200000</v>
      </c>
      <c r="Q113" s="147">
        <v>25200000</v>
      </c>
      <c r="R113" s="147">
        <v>25200000</v>
      </c>
      <c r="S113" s="147">
        <v>25200000</v>
      </c>
      <c r="T113" s="147"/>
      <c r="U113" s="88"/>
      <c r="V113" s="88">
        <v>126000000</v>
      </c>
      <c r="W113" s="28">
        <f t="shared" si="13"/>
        <v>141120000</v>
      </c>
      <c r="X113" s="82"/>
      <c r="Y113" s="82">
        <v>2013</v>
      </c>
      <c r="Z113" s="82"/>
      <c r="AD113"/>
      <c r="AE113"/>
      <c r="AF113"/>
      <c r="AG113"/>
    </row>
    <row r="114" spans="2:37" ht="33.75" customHeight="1" x14ac:dyDescent="0.25">
      <c r="B114" s="82" t="s">
        <v>312</v>
      </c>
      <c r="C114" s="82" t="s">
        <v>2</v>
      </c>
      <c r="D114" s="177" t="s">
        <v>300</v>
      </c>
      <c r="E114" s="178" t="s">
        <v>301</v>
      </c>
      <c r="F114" s="178" t="s">
        <v>302</v>
      </c>
      <c r="G114" s="179" t="s">
        <v>323</v>
      </c>
      <c r="H114" s="180" t="s">
        <v>95</v>
      </c>
      <c r="I114" s="181">
        <v>0</v>
      </c>
      <c r="J114" s="182" t="s">
        <v>986</v>
      </c>
      <c r="K114" s="176" t="s">
        <v>321</v>
      </c>
      <c r="L114" s="109"/>
      <c r="M114" s="183" t="s">
        <v>324</v>
      </c>
      <c r="N114" s="184"/>
      <c r="O114" s="185">
        <v>2232940</v>
      </c>
      <c r="P114" s="185">
        <v>26592170</v>
      </c>
      <c r="Q114" s="185">
        <v>12238260</v>
      </c>
      <c r="R114" s="185">
        <v>11965350</v>
      </c>
      <c r="S114" s="186">
        <v>11965350</v>
      </c>
      <c r="T114" s="186"/>
      <c r="U114" s="187"/>
      <c r="V114" s="187">
        <v>64994070</v>
      </c>
      <c r="W114" s="28">
        <f t="shared" si="13"/>
        <v>72793358.400000006</v>
      </c>
      <c r="X114" s="109"/>
      <c r="Y114" s="82">
        <v>2013</v>
      </c>
      <c r="Z114" s="82"/>
      <c r="AD114"/>
      <c r="AE114"/>
      <c r="AF114"/>
      <c r="AG114"/>
    </row>
    <row r="115" spans="2:37" ht="33.75" customHeight="1" x14ac:dyDescent="0.25">
      <c r="B115" s="82" t="s">
        <v>347</v>
      </c>
      <c r="C115" s="82" t="s">
        <v>2</v>
      </c>
      <c r="D115" s="188" t="s">
        <v>325</v>
      </c>
      <c r="E115" s="86" t="s">
        <v>326</v>
      </c>
      <c r="F115" s="86" t="s">
        <v>327</v>
      </c>
      <c r="G115" s="189" t="s">
        <v>328</v>
      </c>
      <c r="H115" s="103" t="s">
        <v>95</v>
      </c>
      <c r="I115" s="82">
        <v>0</v>
      </c>
      <c r="J115" s="182" t="s">
        <v>986</v>
      </c>
      <c r="K115" s="55" t="s">
        <v>41</v>
      </c>
      <c r="L115" s="82"/>
      <c r="M115" s="189" t="s">
        <v>58</v>
      </c>
      <c r="N115" s="82"/>
      <c r="O115" s="190">
        <v>377633.33</v>
      </c>
      <c r="P115" s="190">
        <v>377633.33</v>
      </c>
      <c r="Q115" s="190">
        <v>377633.33</v>
      </c>
      <c r="R115" s="190"/>
      <c r="S115" s="173"/>
      <c r="T115" s="173"/>
      <c r="U115" s="88"/>
      <c r="V115" s="88">
        <v>1132899.99</v>
      </c>
      <c r="W115" s="28">
        <f t="shared" si="13"/>
        <v>1268847.9888000002</v>
      </c>
      <c r="X115" s="82"/>
      <c r="Y115" s="82">
        <v>2013</v>
      </c>
      <c r="Z115" s="82"/>
      <c r="AD115"/>
      <c r="AE115"/>
      <c r="AF115"/>
      <c r="AG115"/>
    </row>
    <row r="116" spans="2:37" ht="33.75" customHeight="1" x14ac:dyDescent="0.25">
      <c r="B116" s="82" t="s">
        <v>348</v>
      </c>
      <c r="C116" s="82" t="s">
        <v>2</v>
      </c>
      <c r="D116" s="160" t="s">
        <v>329</v>
      </c>
      <c r="E116" s="160" t="s">
        <v>330</v>
      </c>
      <c r="F116" s="160" t="s">
        <v>331</v>
      </c>
      <c r="G116" s="160" t="s">
        <v>332</v>
      </c>
      <c r="H116" s="170" t="s">
        <v>95</v>
      </c>
      <c r="I116" s="110">
        <v>0</v>
      </c>
      <c r="J116" s="191" t="s">
        <v>1035</v>
      </c>
      <c r="K116" s="55" t="s">
        <v>41</v>
      </c>
      <c r="L116" s="192"/>
      <c r="M116" s="82" t="s">
        <v>333</v>
      </c>
      <c r="N116" s="82"/>
      <c r="O116" s="161">
        <v>4600000</v>
      </c>
      <c r="P116" s="161">
        <v>27540000</v>
      </c>
      <c r="Q116" s="161">
        <v>28366200</v>
      </c>
      <c r="R116" s="161">
        <v>29217186</v>
      </c>
      <c r="S116" s="193">
        <v>30093700</v>
      </c>
      <c r="T116" s="194"/>
      <c r="U116" s="195"/>
      <c r="V116" s="88">
        <v>119817086</v>
      </c>
      <c r="W116" s="28">
        <f t="shared" si="13"/>
        <v>134195136.32000001</v>
      </c>
      <c r="X116" s="130"/>
      <c r="Y116" s="82">
        <v>2013</v>
      </c>
      <c r="Z116" s="130"/>
      <c r="AD116"/>
      <c r="AE116"/>
      <c r="AF116"/>
      <c r="AG116"/>
    </row>
    <row r="117" spans="2:37" ht="33.75" customHeight="1" x14ac:dyDescent="0.25">
      <c r="B117" s="82" t="s">
        <v>349</v>
      </c>
      <c r="C117" s="82" t="s">
        <v>2</v>
      </c>
      <c r="D117" s="82" t="s">
        <v>265</v>
      </c>
      <c r="E117" s="160" t="s">
        <v>266</v>
      </c>
      <c r="F117" s="160" t="s">
        <v>266</v>
      </c>
      <c r="G117" s="82" t="s">
        <v>335</v>
      </c>
      <c r="H117" s="146" t="s">
        <v>3</v>
      </c>
      <c r="I117" s="110">
        <v>0</v>
      </c>
      <c r="J117" s="196" t="s">
        <v>402</v>
      </c>
      <c r="K117" s="55" t="s">
        <v>41</v>
      </c>
      <c r="L117" s="192"/>
      <c r="M117" s="146" t="s">
        <v>334</v>
      </c>
      <c r="N117" s="82"/>
      <c r="O117" s="147"/>
      <c r="P117" s="147">
        <v>0</v>
      </c>
      <c r="Q117" s="147">
        <v>0</v>
      </c>
      <c r="R117" s="147">
        <v>0</v>
      </c>
      <c r="S117" s="147">
        <v>0</v>
      </c>
      <c r="T117" s="197"/>
      <c r="U117" s="195"/>
      <c r="V117" s="198">
        <v>0</v>
      </c>
      <c r="W117" s="28">
        <f t="shared" si="13"/>
        <v>0</v>
      </c>
      <c r="X117" s="130"/>
      <c r="Y117" s="82">
        <v>2013</v>
      </c>
      <c r="Z117" s="130" t="s">
        <v>1090</v>
      </c>
      <c r="AD117"/>
      <c r="AE117"/>
      <c r="AF117"/>
      <c r="AG117"/>
    </row>
    <row r="118" spans="2:37" ht="33.75" customHeight="1" x14ac:dyDescent="0.25">
      <c r="B118" s="82" t="s">
        <v>1087</v>
      </c>
      <c r="C118" s="82" t="s">
        <v>2</v>
      </c>
      <c r="D118" s="82" t="s">
        <v>265</v>
      </c>
      <c r="E118" s="160" t="s">
        <v>266</v>
      </c>
      <c r="F118" s="160" t="s">
        <v>266</v>
      </c>
      <c r="G118" s="82" t="s">
        <v>335</v>
      </c>
      <c r="H118" s="146" t="s">
        <v>3</v>
      </c>
      <c r="I118" s="110">
        <v>0</v>
      </c>
      <c r="J118" s="196" t="s">
        <v>402</v>
      </c>
      <c r="K118" s="55" t="s">
        <v>41</v>
      </c>
      <c r="L118" s="192"/>
      <c r="M118" s="146" t="s">
        <v>334</v>
      </c>
      <c r="N118" s="82"/>
      <c r="O118" s="147"/>
      <c r="P118" s="147">
        <v>183600000</v>
      </c>
      <c r="Q118" s="147">
        <v>183600000</v>
      </c>
      <c r="R118" s="147">
        <v>183600000</v>
      </c>
      <c r="S118" s="147">
        <v>183600000</v>
      </c>
      <c r="T118" s="147">
        <v>183600000</v>
      </c>
      <c r="U118" s="195"/>
      <c r="V118" s="198">
        <v>918000000</v>
      </c>
      <c r="W118" s="28">
        <f t="shared" ref="W118" si="14">V118*1.12</f>
        <v>1028160000.0000001</v>
      </c>
      <c r="X118" s="130"/>
      <c r="Y118" s="82">
        <v>2013</v>
      </c>
      <c r="Z118" s="130"/>
      <c r="AD118"/>
      <c r="AE118"/>
      <c r="AF118"/>
      <c r="AG118"/>
    </row>
    <row r="119" spans="2:37" ht="33.75" customHeight="1" x14ac:dyDescent="0.25">
      <c r="B119" s="82" t="s">
        <v>350</v>
      </c>
      <c r="C119" s="82" t="s">
        <v>2</v>
      </c>
      <c r="D119" s="109" t="s">
        <v>336</v>
      </c>
      <c r="E119" s="160" t="s">
        <v>337</v>
      </c>
      <c r="F119" s="160" t="s">
        <v>337</v>
      </c>
      <c r="G119" s="109" t="s">
        <v>338</v>
      </c>
      <c r="H119" s="146" t="s">
        <v>3</v>
      </c>
      <c r="I119" s="110">
        <v>0</v>
      </c>
      <c r="J119" s="196" t="s">
        <v>402</v>
      </c>
      <c r="K119" s="55" t="s">
        <v>41</v>
      </c>
      <c r="L119" s="192"/>
      <c r="M119" s="146" t="s">
        <v>334</v>
      </c>
      <c r="N119" s="82"/>
      <c r="O119" s="147"/>
      <c r="P119" s="147">
        <v>0</v>
      </c>
      <c r="Q119" s="147">
        <v>0</v>
      </c>
      <c r="R119" s="147">
        <v>0</v>
      </c>
      <c r="S119" s="147">
        <v>0</v>
      </c>
      <c r="T119" s="197"/>
      <c r="U119" s="195"/>
      <c r="V119" s="198">
        <v>0</v>
      </c>
      <c r="W119" s="28">
        <f t="shared" si="13"/>
        <v>0</v>
      </c>
      <c r="X119" s="130"/>
      <c r="Y119" s="82">
        <v>2013</v>
      </c>
      <c r="Z119" s="130" t="s">
        <v>1089</v>
      </c>
      <c r="AD119"/>
      <c r="AE119"/>
      <c r="AF119"/>
      <c r="AG119"/>
    </row>
    <row r="120" spans="2:37" ht="33.75" customHeight="1" x14ac:dyDescent="0.25">
      <c r="B120" s="82" t="s">
        <v>1088</v>
      </c>
      <c r="C120" s="82" t="s">
        <v>2</v>
      </c>
      <c r="D120" s="109" t="s">
        <v>336</v>
      </c>
      <c r="E120" s="160" t="s">
        <v>337</v>
      </c>
      <c r="F120" s="160" t="s">
        <v>337</v>
      </c>
      <c r="G120" s="109" t="s">
        <v>338</v>
      </c>
      <c r="H120" s="146" t="s">
        <v>3</v>
      </c>
      <c r="I120" s="110">
        <v>0</v>
      </c>
      <c r="J120" s="196" t="s">
        <v>402</v>
      </c>
      <c r="K120" s="55" t="s">
        <v>41</v>
      </c>
      <c r="L120" s="192"/>
      <c r="M120" s="146" t="s">
        <v>334</v>
      </c>
      <c r="N120" s="82"/>
      <c r="O120" s="147"/>
      <c r="P120" s="147">
        <v>908400000</v>
      </c>
      <c r="Q120" s="147">
        <v>908400000</v>
      </c>
      <c r="R120" s="147">
        <v>908400000</v>
      </c>
      <c r="S120" s="147">
        <v>908400000</v>
      </c>
      <c r="T120" s="147">
        <v>908400000</v>
      </c>
      <c r="U120" s="195"/>
      <c r="V120" s="198">
        <v>4542000000</v>
      </c>
      <c r="W120" s="28">
        <f t="shared" ref="W120" si="15">V120*1.12</f>
        <v>5087040000.000001</v>
      </c>
      <c r="X120" s="130"/>
      <c r="Y120" s="82">
        <v>2013</v>
      </c>
      <c r="Z120" s="130"/>
      <c r="AD120"/>
      <c r="AE120"/>
      <c r="AF120"/>
      <c r="AG120"/>
    </row>
    <row r="121" spans="2:37" ht="33.75" customHeight="1" x14ac:dyDescent="0.25">
      <c r="B121" s="82" t="s">
        <v>351</v>
      </c>
      <c r="C121" s="82" t="s">
        <v>2</v>
      </c>
      <c r="D121" s="82" t="s">
        <v>935</v>
      </c>
      <c r="E121" s="82" t="s">
        <v>413</v>
      </c>
      <c r="F121" s="82" t="s">
        <v>413</v>
      </c>
      <c r="G121" s="82" t="s">
        <v>339</v>
      </c>
      <c r="H121" s="199" t="s">
        <v>3</v>
      </c>
      <c r="I121" s="110">
        <v>0</v>
      </c>
      <c r="J121" s="132" t="s">
        <v>1029</v>
      </c>
      <c r="K121" s="132" t="s">
        <v>340</v>
      </c>
      <c r="L121" s="192"/>
      <c r="M121" s="146" t="s">
        <v>334</v>
      </c>
      <c r="N121" s="82"/>
      <c r="O121" s="88">
        <v>3400000</v>
      </c>
      <c r="P121" s="88">
        <v>40800000</v>
      </c>
      <c r="Q121" s="88">
        <v>40800000</v>
      </c>
      <c r="R121" s="147"/>
      <c r="S121" s="147"/>
      <c r="T121" s="197"/>
      <c r="U121" s="195"/>
      <c r="V121" s="198">
        <v>85000000</v>
      </c>
      <c r="W121" s="28">
        <f t="shared" si="13"/>
        <v>95200000.000000015</v>
      </c>
      <c r="X121" s="130"/>
      <c r="Y121" s="82">
        <v>2013</v>
      </c>
      <c r="Z121" s="130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</row>
    <row r="122" spans="2:37" s="136" customFormat="1" ht="33.75" customHeight="1" x14ac:dyDescent="0.25">
      <c r="B122" s="82" t="s">
        <v>353</v>
      </c>
      <c r="C122" s="82" t="s">
        <v>2</v>
      </c>
      <c r="D122" s="82" t="s">
        <v>354</v>
      </c>
      <c r="E122" s="82" t="s">
        <v>355</v>
      </c>
      <c r="F122" s="82" t="s">
        <v>356</v>
      </c>
      <c r="G122" s="82" t="s">
        <v>357</v>
      </c>
      <c r="H122" s="131" t="s">
        <v>3</v>
      </c>
      <c r="I122" s="131">
        <v>0</v>
      </c>
      <c r="J122" s="132" t="s">
        <v>1036</v>
      </c>
      <c r="K122" s="132" t="s">
        <v>358</v>
      </c>
      <c r="L122" s="133"/>
      <c r="M122" s="82" t="s">
        <v>359</v>
      </c>
      <c r="N122" s="133"/>
      <c r="O122" s="172">
        <v>8400000</v>
      </c>
      <c r="P122" s="172">
        <v>8400000</v>
      </c>
      <c r="Q122" s="210"/>
      <c r="R122" s="210"/>
      <c r="S122" s="210"/>
      <c r="T122" s="210"/>
      <c r="U122" s="210"/>
      <c r="V122" s="134">
        <v>16800000</v>
      </c>
      <c r="W122" s="28">
        <f t="shared" si="13"/>
        <v>18816000</v>
      </c>
      <c r="X122" s="16"/>
      <c r="Y122" s="135">
        <v>2014</v>
      </c>
      <c r="Z122" s="130"/>
      <c r="AA122"/>
      <c r="AB122"/>
      <c r="AC122"/>
      <c r="AD122"/>
      <c r="AE122"/>
      <c r="AF122"/>
      <c r="AG122"/>
      <c r="AH122"/>
      <c r="AI122"/>
      <c r="AJ122"/>
      <c r="AK122"/>
    </row>
    <row r="123" spans="2:37" ht="48" customHeight="1" x14ac:dyDescent="0.25">
      <c r="B123" s="82" t="s">
        <v>757</v>
      </c>
      <c r="C123" s="82" t="s">
        <v>2</v>
      </c>
      <c r="D123" s="82" t="s">
        <v>366</v>
      </c>
      <c r="E123" s="82" t="s">
        <v>367</v>
      </c>
      <c r="F123" s="82" t="s">
        <v>368</v>
      </c>
      <c r="G123" s="82" t="s">
        <v>369</v>
      </c>
      <c r="H123" s="82" t="s">
        <v>3</v>
      </c>
      <c r="I123" s="131">
        <v>100</v>
      </c>
      <c r="J123" s="132" t="s">
        <v>1029</v>
      </c>
      <c r="K123" s="55" t="s">
        <v>41</v>
      </c>
      <c r="L123" s="214"/>
      <c r="M123" s="146" t="s">
        <v>370</v>
      </c>
      <c r="N123" s="217"/>
      <c r="O123" s="172">
        <v>11835720</v>
      </c>
      <c r="P123" s="172">
        <v>11835720</v>
      </c>
      <c r="Q123" s="172">
        <v>11835720</v>
      </c>
      <c r="R123" s="172"/>
      <c r="S123" s="172"/>
      <c r="T123" s="172"/>
      <c r="U123" s="217"/>
      <c r="V123" s="172">
        <v>35507160</v>
      </c>
      <c r="W123" s="172">
        <f>V123*1.12</f>
        <v>39768019.200000003</v>
      </c>
      <c r="X123" s="214"/>
      <c r="Y123" s="135">
        <v>2012</v>
      </c>
      <c r="Z123" s="82"/>
    </row>
    <row r="124" spans="2:37" s="213" customFormat="1" ht="48" customHeight="1" x14ac:dyDescent="0.25">
      <c r="B124" s="82" t="s">
        <v>758</v>
      </c>
      <c r="C124" s="82" t="s">
        <v>2</v>
      </c>
      <c r="D124" s="82" t="s">
        <v>371</v>
      </c>
      <c r="E124" s="82" t="s">
        <v>372</v>
      </c>
      <c r="F124" s="82" t="s">
        <v>373</v>
      </c>
      <c r="G124" s="82" t="s">
        <v>374</v>
      </c>
      <c r="H124" s="82" t="s">
        <v>95</v>
      </c>
      <c r="I124" s="131">
        <v>0</v>
      </c>
      <c r="J124" s="132" t="s">
        <v>1033</v>
      </c>
      <c r="K124" s="132" t="s">
        <v>375</v>
      </c>
      <c r="L124" s="214"/>
      <c r="M124" s="146" t="s">
        <v>376</v>
      </c>
      <c r="N124" s="217"/>
      <c r="O124" s="172">
        <v>4709699</v>
      </c>
      <c r="P124" s="172">
        <v>4709699</v>
      </c>
      <c r="Q124" s="172">
        <v>4709699</v>
      </c>
      <c r="R124" s="172">
        <v>4709699</v>
      </c>
      <c r="S124" s="172">
        <v>4709699</v>
      </c>
      <c r="T124" s="172"/>
      <c r="U124" s="217"/>
      <c r="V124" s="172">
        <v>23548494.600000001</v>
      </c>
      <c r="W124" s="172">
        <f t="shared" ref="W124:W187" si="16">V124*1.12</f>
        <v>26374313.952000003</v>
      </c>
      <c r="X124" s="214"/>
      <c r="Y124" s="135">
        <v>2012</v>
      </c>
      <c r="Z124" s="232"/>
      <c r="AD124" s="233"/>
      <c r="AE124" s="233"/>
      <c r="AF124" s="233"/>
      <c r="AG124" s="233"/>
    </row>
    <row r="125" spans="2:37" s="213" customFormat="1" ht="48" customHeight="1" x14ac:dyDescent="0.25">
      <c r="B125" s="82" t="s">
        <v>759</v>
      </c>
      <c r="C125" s="82" t="s">
        <v>2</v>
      </c>
      <c r="D125" s="82" t="s">
        <v>646</v>
      </c>
      <c r="E125" s="82" t="s">
        <v>648</v>
      </c>
      <c r="F125" s="82" t="s">
        <v>648</v>
      </c>
      <c r="G125" s="82" t="s">
        <v>377</v>
      </c>
      <c r="H125" s="82" t="s">
        <v>95</v>
      </c>
      <c r="I125" s="131">
        <v>100</v>
      </c>
      <c r="J125" s="132" t="s">
        <v>1037</v>
      </c>
      <c r="K125" s="132" t="s">
        <v>378</v>
      </c>
      <c r="L125" s="214"/>
      <c r="M125" s="146" t="s">
        <v>316</v>
      </c>
      <c r="N125" s="214"/>
      <c r="O125" s="172">
        <v>433334</v>
      </c>
      <c r="P125" s="172">
        <v>433334</v>
      </c>
      <c r="Q125" s="172">
        <v>433334</v>
      </c>
      <c r="R125" s="172"/>
      <c r="S125" s="172"/>
      <c r="T125" s="172"/>
      <c r="U125" s="217"/>
      <c r="V125" s="172">
        <f>O125+P125+Q125+S125</f>
        <v>1300002</v>
      </c>
      <c r="W125" s="172">
        <f t="shared" si="16"/>
        <v>1456002.2400000002</v>
      </c>
      <c r="X125" s="214"/>
      <c r="Y125" s="135">
        <v>2013</v>
      </c>
      <c r="Z125" s="232"/>
      <c r="AD125" s="233"/>
      <c r="AE125" s="233"/>
      <c r="AF125" s="233"/>
      <c r="AG125" s="233"/>
    </row>
    <row r="126" spans="2:37" s="213" customFormat="1" ht="48" customHeight="1" x14ac:dyDescent="0.25">
      <c r="B126" s="82" t="s">
        <v>760</v>
      </c>
      <c r="C126" s="82" t="s">
        <v>2</v>
      </c>
      <c r="D126" s="82" t="s">
        <v>295</v>
      </c>
      <c r="E126" s="82" t="s">
        <v>296</v>
      </c>
      <c r="F126" s="82" t="s">
        <v>296</v>
      </c>
      <c r="G126" s="82" t="s">
        <v>379</v>
      </c>
      <c r="H126" s="82" t="s">
        <v>95</v>
      </c>
      <c r="I126" s="131">
        <v>50</v>
      </c>
      <c r="J126" s="132" t="s">
        <v>96</v>
      </c>
      <c r="K126" s="132" t="s">
        <v>380</v>
      </c>
      <c r="L126" s="214"/>
      <c r="M126" s="146" t="s">
        <v>316</v>
      </c>
      <c r="N126" s="214"/>
      <c r="O126" s="172">
        <v>64779000</v>
      </c>
      <c r="P126" s="172">
        <v>75504000</v>
      </c>
      <c r="Q126" s="172">
        <v>75504000</v>
      </c>
      <c r="R126" s="172"/>
      <c r="S126" s="172"/>
      <c r="T126" s="172"/>
      <c r="U126" s="217"/>
      <c r="V126" s="172">
        <f>O126+P126+Q126+R126+S126</f>
        <v>215787000</v>
      </c>
      <c r="W126" s="172">
        <f t="shared" si="16"/>
        <v>241681440.00000003</v>
      </c>
      <c r="X126" s="214"/>
      <c r="Y126" s="135">
        <v>2013</v>
      </c>
      <c r="Z126" s="232"/>
      <c r="AD126" s="233"/>
      <c r="AE126" s="233"/>
      <c r="AF126" s="233"/>
      <c r="AG126" s="233"/>
    </row>
    <row r="127" spans="2:37" s="213" customFormat="1" ht="48" customHeight="1" x14ac:dyDescent="0.25">
      <c r="B127" s="82" t="s">
        <v>761</v>
      </c>
      <c r="C127" s="82" t="s">
        <v>2</v>
      </c>
      <c r="D127" s="82" t="s">
        <v>979</v>
      </c>
      <c r="E127" s="82" t="s">
        <v>980</v>
      </c>
      <c r="F127" s="82" t="s">
        <v>981</v>
      </c>
      <c r="G127" s="82" t="s">
        <v>381</v>
      </c>
      <c r="H127" s="82" t="s">
        <v>3</v>
      </c>
      <c r="I127" s="131">
        <v>0</v>
      </c>
      <c r="J127" s="132" t="s">
        <v>1038</v>
      </c>
      <c r="K127" s="132" t="s">
        <v>382</v>
      </c>
      <c r="L127" s="214"/>
      <c r="M127" s="146" t="s">
        <v>316</v>
      </c>
      <c r="N127" s="214"/>
      <c r="O127" s="172">
        <v>5791500</v>
      </c>
      <c r="P127" s="172">
        <v>16839900</v>
      </c>
      <c r="Q127" s="172">
        <v>5583600</v>
      </c>
      <c r="R127" s="172"/>
      <c r="S127" s="172"/>
      <c r="T127" s="172"/>
      <c r="U127" s="217"/>
      <c r="V127" s="172">
        <f>O127+P127+Q127</f>
        <v>28215000</v>
      </c>
      <c r="W127" s="172">
        <f t="shared" si="16"/>
        <v>31600800.000000004</v>
      </c>
      <c r="X127" s="214"/>
      <c r="Y127" s="135">
        <v>2013</v>
      </c>
      <c r="Z127" s="232"/>
      <c r="AD127" s="233"/>
      <c r="AE127" s="233"/>
      <c r="AF127" s="233"/>
      <c r="AG127" s="233"/>
    </row>
    <row r="128" spans="2:37" s="213" customFormat="1" ht="48" customHeight="1" x14ac:dyDescent="0.25">
      <c r="B128" s="82" t="s">
        <v>762</v>
      </c>
      <c r="C128" s="82" t="s">
        <v>2</v>
      </c>
      <c r="D128" s="82" t="s">
        <v>383</v>
      </c>
      <c r="E128" s="82" t="s">
        <v>384</v>
      </c>
      <c r="F128" s="82" t="s">
        <v>384</v>
      </c>
      <c r="G128" s="82" t="s">
        <v>385</v>
      </c>
      <c r="H128" s="82" t="s">
        <v>3</v>
      </c>
      <c r="I128" s="131">
        <v>0</v>
      </c>
      <c r="J128" s="132" t="s">
        <v>1039</v>
      </c>
      <c r="K128" s="132" t="s">
        <v>386</v>
      </c>
      <c r="L128" s="214"/>
      <c r="M128" s="146" t="s">
        <v>316</v>
      </c>
      <c r="N128" s="214"/>
      <c r="O128" s="172">
        <v>5136120</v>
      </c>
      <c r="P128" s="172">
        <v>8988210</v>
      </c>
      <c r="Q128" s="172">
        <v>8988210</v>
      </c>
      <c r="R128" s="172"/>
      <c r="S128" s="172"/>
      <c r="T128" s="172"/>
      <c r="U128" s="217"/>
      <c r="V128" s="172">
        <v>23112540</v>
      </c>
      <c r="W128" s="172">
        <f t="shared" si="16"/>
        <v>25886044.800000001</v>
      </c>
      <c r="X128" s="214"/>
      <c r="Y128" s="135">
        <v>2013</v>
      </c>
      <c r="Z128" s="232"/>
      <c r="AD128" s="233"/>
      <c r="AE128" s="233"/>
      <c r="AF128" s="233"/>
      <c r="AG128" s="233"/>
    </row>
    <row r="129" spans="2:33" s="213" customFormat="1" ht="48" customHeight="1" x14ac:dyDescent="0.25">
      <c r="B129" s="82" t="s">
        <v>763</v>
      </c>
      <c r="C129" s="82" t="s">
        <v>2</v>
      </c>
      <c r="D129" s="82" t="s">
        <v>295</v>
      </c>
      <c r="E129" s="82" t="s">
        <v>296</v>
      </c>
      <c r="F129" s="82" t="s">
        <v>296</v>
      </c>
      <c r="G129" s="82" t="s">
        <v>387</v>
      </c>
      <c r="H129" s="82" t="s">
        <v>3</v>
      </c>
      <c r="I129" s="131">
        <v>0</v>
      </c>
      <c r="J129" s="132" t="s">
        <v>1028</v>
      </c>
      <c r="K129" s="132" t="s">
        <v>388</v>
      </c>
      <c r="L129" s="214"/>
      <c r="M129" s="146" t="s">
        <v>316</v>
      </c>
      <c r="N129" s="214"/>
      <c r="O129" s="172">
        <v>93480750</v>
      </c>
      <c r="P129" s="172">
        <v>216339255</v>
      </c>
      <c r="Q129" s="172">
        <v>216339255</v>
      </c>
      <c r="R129" s="172">
        <v>216339255</v>
      </c>
      <c r="S129" s="172"/>
      <c r="T129" s="172"/>
      <c r="U129" s="217"/>
      <c r="V129" s="172">
        <f t="shared" ref="V129:V142" si="17">SUM(O129:R129)</f>
        <v>742498515</v>
      </c>
      <c r="W129" s="172">
        <f t="shared" si="16"/>
        <v>831598336.80000007</v>
      </c>
      <c r="X129" s="214"/>
      <c r="Y129" s="135">
        <v>2013</v>
      </c>
      <c r="Z129" s="232"/>
      <c r="AD129" s="233"/>
      <c r="AE129" s="233"/>
      <c r="AF129" s="233"/>
      <c r="AG129" s="233"/>
    </row>
    <row r="130" spans="2:33" s="213" customFormat="1" ht="48" customHeight="1" x14ac:dyDescent="0.25">
      <c r="B130" s="82" t="s">
        <v>764</v>
      </c>
      <c r="C130" s="82" t="s">
        <v>2</v>
      </c>
      <c r="D130" s="82" t="s">
        <v>389</v>
      </c>
      <c r="E130" s="82" t="s">
        <v>384</v>
      </c>
      <c r="F130" s="82" t="s">
        <v>384</v>
      </c>
      <c r="G130" s="82" t="s">
        <v>390</v>
      </c>
      <c r="H130" s="82" t="s">
        <v>3</v>
      </c>
      <c r="I130" s="131">
        <v>0</v>
      </c>
      <c r="J130" s="132" t="s">
        <v>1028</v>
      </c>
      <c r="K130" s="132" t="s">
        <v>388</v>
      </c>
      <c r="L130" s="214"/>
      <c r="M130" s="146" t="s">
        <v>316</v>
      </c>
      <c r="N130" s="214"/>
      <c r="O130" s="172">
        <v>103473315</v>
      </c>
      <c r="P130" s="172">
        <v>213008400</v>
      </c>
      <c r="Q130" s="172">
        <v>213008400</v>
      </c>
      <c r="R130" s="172">
        <v>213008400</v>
      </c>
      <c r="S130" s="172"/>
      <c r="T130" s="172"/>
      <c r="U130" s="217"/>
      <c r="V130" s="172">
        <f t="shared" si="17"/>
        <v>742498515</v>
      </c>
      <c r="W130" s="172">
        <f t="shared" si="16"/>
        <v>831598336.80000007</v>
      </c>
      <c r="X130" s="214"/>
      <c r="Y130" s="135">
        <v>2013</v>
      </c>
      <c r="Z130" s="232"/>
      <c r="AD130" s="233"/>
      <c r="AE130" s="233"/>
      <c r="AF130" s="233"/>
      <c r="AG130" s="233"/>
    </row>
    <row r="131" spans="2:33" s="213" customFormat="1" ht="48" customHeight="1" x14ac:dyDescent="0.25">
      <c r="B131" s="82" t="s">
        <v>765</v>
      </c>
      <c r="C131" s="82" t="s">
        <v>2</v>
      </c>
      <c r="D131" s="82" t="s">
        <v>979</v>
      </c>
      <c r="E131" s="82" t="s">
        <v>980</v>
      </c>
      <c r="F131" s="82" t="s">
        <v>981</v>
      </c>
      <c r="G131" s="82" t="s">
        <v>391</v>
      </c>
      <c r="H131" s="82" t="s">
        <v>3</v>
      </c>
      <c r="I131" s="131">
        <v>0</v>
      </c>
      <c r="J131" s="132" t="s">
        <v>1028</v>
      </c>
      <c r="K131" s="132" t="s">
        <v>388</v>
      </c>
      <c r="L131" s="214"/>
      <c r="M131" s="146" t="s">
        <v>316</v>
      </c>
      <c r="N131" s="214"/>
      <c r="O131" s="172">
        <v>11617155</v>
      </c>
      <c r="P131" s="172">
        <v>58628394</v>
      </c>
      <c r="Q131" s="172">
        <v>89552628</v>
      </c>
      <c r="R131" s="172">
        <v>90678406.5</v>
      </c>
      <c r="S131" s="172"/>
      <c r="T131" s="172"/>
      <c r="U131" s="217"/>
      <c r="V131" s="172">
        <f t="shared" si="17"/>
        <v>250476583.5</v>
      </c>
      <c r="W131" s="172">
        <f t="shared" si="16"/>
        <v>280533773.52000004</v>
      </c>
      <c r="X131" s="214"/>
      <c r="Y131" s="135">
        <v>2013</v>
      </c>
      <c r="Z131" s="232"/>
      <c r="AD131" s="233"/>
      <c r="AE131" s="233"/>
      <c r="AF131" s="233"/>
      <c r="AG131" s="233"/>
    </row>
    <row r="132" spans="2:33" s="213" customFormat="1" ht="48" customHeight="1" x14ac:dyDescent="0.25">
      <c r="B132" s="82" t="s">
        <v>766</v>
      </c>
      <c r="C132" s="82" t="s">
        <v>2</v>
      </c>
      <c r="D132" s="82" t="s">
        <v>392</v>
      </c>
      <c r="E132" s="82" t="s">
        <v>393</v>
      </c>
      <c r="F132" s="82" t="s">
        <v>393</v>
      </c>
      <c r="G132" s="82" t="s">
        <v>394</v>
      </c>
      <c r="H132" s="82" t="s">
        <v>3</v>
      </c>
      <c r="I132" s="131">
        <v>0</v>
      </c>
      <c r="J132" s="132" t="s">
        <v>1040</v>
      </c>
      <c r="K132" s="132" t="s">
        <v>395</v>
      </c>
      <c r="L132" s="214"/>
      <c r="M132" s="146" t="s">
        <v>316</v>
      </c>
      <c r="N132" s="214"/>
      <c r="O132" s="172">
        <v>11476500</v>
      </c>
      <c r="P132" s="172">
        <v>45905830</v>
      </c>
      <c r="Q132" s="172"/>
      <c r="R132" s="172"/>
      <c r="S132" s="172"/>
      <c r="T132" s="172"/>
      <c r="U132" s="217"/>
      <c r="V132" s="172">
        <f t="shared" si="17"/>
        <v>57382330</v>
      </c>
      <c r="W132" s="172">
        <f t="shared" si="16"/>
        <v>64268209.600000009</v>
      </c>
      <c r="X132" s="214"/>
      <c r="Y132" s="135">
        <v>2013</v>
      </c>
      <c r="Z132" s="232"/>
      <c r="AD132" s="233"/>
      <c r="AE132" s="233"/>
      <c r="AF132" s="233"/>
      <c r="AG132" s="233"/>
    </row>
    <row r="133" spans="2:33" s="213" customFormat="1" ht="48" customHeight="1" x14ac:dyDescent="0.25">
      <c r="B133" s="82" t="s">
        <v>767</v>
      </c>
      <c r="C133" s="82" t="s">
        <v>2</v>
      </c>
      <c r="D133" s="82" t="s">
        <v>935</v>
      </c>
      <c r="E133" s="82" t="s">
        <v>413</v>
      </c>
      <c r="F133" s="82" t="s">
        <v>413</v>
      </c>
      <c r="G133" s="82" t="s">
        <v>398</v>
      </c>
      <c r="H133" s="82" t="s">
        <v>95</v>
      </c>
      <c r="I133" s="131">
        <v>0</v>
      </c>
      <c r="J133" s="132" t="s">
        <v>399</v>
      </c>
      <c r="K133" s="132" t="s">
        <v>400</v>
      </c>
      <c r="L133" s="214"/>
      <c r="M133" s="146" t="s">
        <v>316</v>
      </c>
      <c r="N133" s="214"/>
      <c r="O133" s="172">
        <v>18750000</v>
      </c>
      <c r="P133" s="172">
        <v>26250000</v>
      </c>
      <c r="Q133" s="172"/>
      <c r="R133" s="172"/>
      <c r="S133" s="172"/>
      <c r="T133" s="172"/>
      <c r="U133" s="217"/>
      <c r="V133" s="172">
        <f t="shared" si="17"/>
        <v>45000000</v>
      </c>
      <c r="W133" s="172">
        <f t="shared" si="16"/>
        <v>50400000.000000007</v>
      </c>
      <c r="X133" s="214"/>
      <c r="Y133" s="135">
        <v>2013</v>
      </c>
      <c r="Z133" s="232"/>
      <c r="AD133" s="233"/>
      <c r="AE133" s="233"/>
      <c r="AF133" s="233"/>
      <c r="AG133" s="233"/>
    </row>
    <row r="134" spans="2:33" s="213" customFormat="1" ht="48" customHeight="1" x14ac:dyDescent="0.25">
      <c r="B134" s="82" t="s">
        <v>768</v>
      </c>
      <c r="C134" s="82" t="s">
        <v>2</v>
      </c>
      <c r="D134" s="82" t="s">
        <v>396</v>
      </c>
      <c r="E134" s="82" t="s">
        <v>397</v>
      </c>
      <c r="F134" s="82" t="s">
        <v>397</v>
      </c>
      <c r="G134" s="82" t="s">
        <v>401</v>
      </c>
      <c r="H134" s="82" t="s">
        <v>95</v>
      </c>
      <c r="I134" s="131">
        <v>0</v>
      </c>
      <c r="J134" s="132" t="s">
        <v>402</v>
      </c>
      <c r="K134" s="132" t="s">
        <v>403</v>
      </c>
      <c r="L134" s="214"/>
      <c r="M134" s="146" t="s">
        <v>316</v>
      </c>
      <c r="N134" s="214"/>
      <c r="O134" s="172">
        <v>40539529.403999999</v>
      </c>
      <c r="P134" s="172">
        <v>45172572.587999992</v>
      </c>
      <c r="Q134" s="172">
        <v>45172572.587999992</v>
      </c>
      <c r="R134" s="172"/>
      <c r="S134" s="172"/>
      <c r="T134" s="172"/>
      <c r="U134" s="217"/>
      <c r="V134" s="172">
        <f t="shared" si="17"/>
        <v>130884674.57999998</v>
      </c>
      <c r="W134" s="172">
        <f t="shared" si="16"/>
        <v>146590835.52959999</v>
      </c>
      <c r="X134" s="214"/>
      <c r="Y134" s="135">
        <v>2013</v>
      </c>
      <c r="Z134" s="232"/>
      <c r="AD134" s="233"/>
      <c r="AE134" s="233"/>
      <c r="AF134" s="233"/>
      <c r="AG134" s="233"/>
    </row>
    <row r="135" spans="2:33" s="213" customFormat="1" ht="48" customHeight="1" x14ac:dyDescent="0.25">
      <c r="B135" s="82" t="s">
        <v>769</v>
      </c>
      <c r="C135" s="82" t="s">
        <v>2</v>
      </c>
      <c r="D135" s="82" t="s">
        <v>979</v>
      </c>
      <c r="E135" s="82" t="s">
        <v>980</v>
      </c>
      <c r="F135" s="82" t="s">
        <v>981</v>
      </c>
      <c r="G135" s="82" t="s">
        <v>406</v>
      </c>
      <c r="H135" s="82" t="s">
        <v>3</v>
      </c>
      <c r="I135" s="131">
        <v>0</v>
      </c>
      <c r="J135" s="132" t="s">
        <v>402</v>
      </c>
      <c r="K135" s="132" t="s">
        <v>407</v>
      </c>
      <c r="L135" s="214"/>
      <c r="M135" s="146" t="s">
        <v>316</v>
      </c>
      <c r="N135" s="214"/>
      <c r="O135" s="172">
        <v>1049280</v>
      </c>
      <c r="P135" s="172">
        <v>5645853</v>
      </c>
      <c r="Q135" s="172">
        <v>8446383</v>
      </c>
      <c r="R135" s="172">
        <v>8494051</v>
      </c>
      <c r="S135" s="172"/>
      <c r="T135" s="172"/>
      <c r="U135" s="217"/>
      <c r="V135" s="172">
        <f t="shared" si="17"/>
        <v>23635567</v>
      </c>
      <c r="W135" s="172">
        <f t="shared" si="16"/>
        <v>26471835.040000003</v>
      </c>
      <c r="X135" s="214"/>
      <c r="Y135" s="135">
        <v>2013</v>
      </c>
      <c r="Z135" s="232"/>
      <c r="AD135" s="233"/>
      <c r="AE135" s="233"/>
      <c r="AF135" s="233"/>
      <c r="AG135" s="233"/>
    </row>
    <row r="136" spans="2:33" s="213" customFormat="1" ht="48" customHeight="1" x14ac:dyDescent="0.25">
      <c r="B136" s="82" t="s">
        <v>770</v>
      </c>
      <c r="C136" s="82" t="s">
        <v>2</v>
      </c>
      <c r="D136" s="82" t="s">
        <v>295</v>
      </c>
      <c r="E136" s="82" t="s">
        <v>296</v>
      </c>
      <c r="F136" s="82" t="s">
        <v>296</v>
      </c>
      <c r="G136" s="82" t="s">
        <v>408</v>
      </c>
      <c r="H136" s="82" t="s">
        <v>95</v>
      </c>
      <c r="I136" s="131">
        <v>0</v>
      </c>
      <c r="J136" s="132" t="s">
        <v>409</v>
      </c>
      <c r="K136" s="132" t="s">
        <v>400</v>
      </c>
      <c r="L136" s="214"/>
      <c r="M136" s="146" t="s">
        <v>316</v>
      </c>
      <c r="N136" s="214"/>
      <c r="O136" s="172">
        <v>10327500</v>
      </c>
      <c r="P136" s="172">
        <v>30982500</v>
      </c>
      <c r="Q136" s="172"/>
      <c r="R136" s="172"/>
      <c r="S136" s="172"/>
      <c r="T136" s="172"/>
      <c r="U136" s="217"/>
      <c r="V136" s="172">
        <f t="shared" si="17"/>
        <v>41310000</v>
      </c>
      <c r="W136" s="172">
        <f t="shared" si="16"/>
        <v>46267200.000000007</v>
      </c>
      <c r="X136" s="214"/>
      <c r="Y136" s="135">
        <v>2013</v>
      </c>
      <c r="Z136" s="232"/>
      <c r="AD136" s="233"/>
      <c r="AE136" s="233"/>
      <c r="AF136" s="233"/>
      <c r="AG136" s="233"/>
    </row>
    <row r="137" spans="2:33" s="213" customFormat="1" ht="48" customHeight="1" x14ac:dyDescent="0.25">
      <c r="B137" s="82" t="s">
        <v>771</v>
      </c>
      <c r="C137" s="82" t="s">
        <v>2</v>
      </c>
      <c r="D137" s="82" t="s">
        <v>295</v>
      </c>
      <c r="E137" s="82" t="s">
        <v>296</v>
      </c>
      <c r="F137" s="82" t="s">
        <v>296</v>
      </c>
      <c r="G137" s="82" t="s">
        <v>410</v>
      </c>
      <c r="H137" s="82" t="s">
        <v>3</v>
      </c>
      <c r="I137" s="131">
        <v>0</v>
      </c>
      <c r="J137" s="132" t="s">
        <v>1025</v>
      </c>
      <c r="K137" s="132" t="s">
        <v>411</v>
      </c>
      <c r="L137" s="214"/>
      <c r="M137" s="146" t="s">
        <v>316</v>
      </c>
      <c r="N137" s="214"/>
      <c r="O137" s="172">
        <v>9212792</v>
      </c>
      <c r="P137" s="172">
        <v>75169158.669</v>
      </c>
      <c r="Q137" s="172"/>
      <c r="R137" s="172"/>
      <c r="S137" s="172"/>
      <c r="T137" s="172"/>
      <c r="U137" s="217"/>
      <c r="V137" s="172">
        <f t="shared" si="17"/>
        <v>84381950.669</v>
      </c>
      <c r="W137" s="172">
        <f t="shared" si="16"/>
        <v>94507784.749280006</v>
      </c>
      <c r="X137" s="214"/>
      <c r="Y137" s="135">
        <v>2013</v>
      </c>
      <c r="Z137" s="232"/>
      <c r="AD137" s="233"/>
      <c r="AE137" s="233"/>
      <c r="AF137" s="233"/>
      <c r="AG137" s="233"/>
    </row>
    <row r="138" spans="2:33" s="213" customFormat="1" ht="48" customHeight="1" x14ac:dyDescent="0.25">
      <c r="B138" s="82" t="s">
        <v>772</v>
      </c>
      <c r="C138" s="82" t="s">
        <v>2</v>
      </c>
      <c r="D138" s="82" t="s">
        <v>412</v>
      </c>
      <c r="E138" s="82" t="s">
        <v>413</v>
      </c>
      <c r="F138" s="82" t="s">
        <v>413</v>
      </c>
      <c r="G138" s="82" t="s">
        <v>414</v>
      </c>
      <c r="H138" s="82" t="s">
        <v>95</v>
      </c>
      <c r="I138" s="131">
        <v>100</v>
      </c>
      <c r="J138" s="132" t="s">
        <v>1025</v>
      </c>
      <c r="K138" s="132" t="s">
        <v>415</v>
      </c>
      <c r="L138" s="214"/>
      <c r="M138" s="146" t="s">
        <v>316</v>
      </c>
      <c r="N138" s="214"/>
      <c r="O138" s="172">
        <v>11773565</v>
      </c>
      <c r="P138" s="172">
        <v>70641000</v>
      </c>
      <c r="Q138" s="172"/>
      <c r="R138" s="172"/>
      <c r="S138" s="172"/>
      <c r="T138" s="172"/>
      <c r="U138" s="217"/>
      <c r="V138" s="172">
        <f t="shared" si="17"/>
        <v>82414565</v>
      </c>
      <c r="W138" s="172">
        <f t="shared" si="16"/>
        <v>92304312.800000012</v>
      </c>
      <c r="X138" s="214"/>
      <c r="Y138" s="135">
        <v>2013</v>
      </c>
      <c r="Z138" s="232"/>
      <c r="AD138" s="233"/>
      <c r="AE138" s="233"/>
      <c r="AF138" s="233"/>
      <c r="AG138" s="233"/>
    </row>
    <row r="139" spans="2:33" s="213" customFormat="1" ht="48" customHeight="1" x14ac:dyDescent="0.25">
      <c r="B139" s="82" t="s">
        <v>773</v>
      </c>
      <c r="C139" s="82" t="s">
        <v>2</v>
      </c>
      <c r="D139" s="82" t="s">
        <v>979</v>
      </c>
      <c r="E139" s="82" t="s">
        <v>980</v>
      </c>
      <c r="F139" s="82" t="s">
        <v>981</v>
      </c>
      <c r="G139" s="82" t="s">
        <v>416</v>
      </c>
      <c r="H139" s="82" t="s">
        <v>95</v>
      </c>
      <c r="I139" s="131">
        <v>0</v>
      </c>
      <c r="J139" s="132" t="s">
        <v>1025</v>
      </c>
      <c r="K139" s="132" t="s">
        <v>417</v>
      </c>
      <c r="L139" s="214"/>
      <c r="M139" s="146" t="s">
        <v>316</v>
      </c>
      <c r="N139" s="214"/>
      <c r="O139" s="172">
        <v>400000</v>
      </c>
      <c r="P139" s="172">
        <v>6850000</v>
      </c>
      <c r="Q139" s="172">
        <v>6850000</v>
      </c>
      <c r="R139" s="172"/>
      <c r="S139" s="172"/>
      <c r="T139" s="172"/>
      <c r="U139" s="217"/>
      <c r="V139" s="172">
        <f t="shared" si="17"/>
        <v>14100000</v>
      </c>
      <c r="W139" s="172">
        <f t="shared" si="16"/>
        <v>15792000.000000002</v>
      </c>
      <c r="X139" s="214"/>
      <c r="Y139" s="135">
        <v>2013</v>
      </c>
      <c r="Z139" s="232"/>
      <c r="AD139" s="233"/>
      <c r="AE139" s="233"/>
      <c r="AF139" s="233"/>
      <c r="AG139" s="233"/>
    </row>
    <row r="140" spans="2:33" s="213" customFormat="1" ht="48" customHeight="1" x14ac:dyDescent="0.25">
      <c r="B140" s="82" t="s">
        <v>774</v>
      </c>
      <c r="C140" s="82" t="s">
        <v>2</v>
      </c>
      <c r="D140" s="82" t="s">
        <v>418</v>
      </c>
      <c r="E140" s="82" t="s">
        <v>419</v>
      </c>
      <c r="F140" s="82" t="s">
        <v>419</v>
      </c>
      <c r="G140" s="82" t="s">
        <v>420</v>
      </c>
      <c r="H140" s="82" t="s">
        <v>95</v>
      </c>
      <c r="I140" s="131">
        <v>0</v>
      </c>
      <c r="J140" s="132" t="s">
        <v>1033</v>
      </c>
      <c r="K140" s="132" t="s">
        <v>421</v>
      </c>
      <c r="L140" s="214"/>
      <c r="M140" s="146" t="s">
        <v>316</v>
      </c>
      <c r="N140" s="214"/>
      <c r="O140" s="172">
        <v>250000</v>
      </c>
      <c r="P140" s="172">
        <v>230420</v>
      </c>
      <c r="Q140" s="172"/>
      <c r="R140" s="172"/>
      <c r="S140" s="172"/>
      <c r="T140" s="172"/>
      <c r="U140" s="217"/>
      <c r="V140" s="172">
        <f t="shared" si="17"/>
        <v>480420</v>
      </c>
      <c r="W140" s="172">
        <f t="shared" si="16"/>
        <v>538070.4</v>
      </c>
      <c r="X140" s="214"/>
      <c r="Y140" s="135">
        <v>2013</v>
      </c>
      <c r="Z140" s="232"/>
      <c r="AD140" s="233"/>
      <c r="AE140" s="233"/>
      <c r="AF140" s="233"/>
      <c r="AG140" s="233"/>
    </row>
    <row r="141" spans="2:33" s="213" customFormat="1" ht="48" customHeight="1" x14ac:dyDescent="0.25">
      <c r="B141" s="82" t="s">
        <v>775</v>
      </c>
      <c r="C141" s="82" t="s">
        <v>2</v>
      </c>
      <c r="D141" s="82" t="s">
        <v>295</v>
      </c>
      <c r="E141" s="82" t="s">
        <v>296</v>
      </c>
      <c r="F141" s="82" t="s">
        <v>296</v>
      </c>
      <c r="G141" s="82" t="s">
        <v>422</v>
      </c>
      <c r="H141" s="82" t="s">
        <v>95</v>
      </c>
      <c r="I141" s="131">
        <v>0</v>
      </c>
      <c r="J141" s="132" t="s">
        <v>1033</v>
      </c>
      <c r="K141" s="132" t="s">
        <v>315</v>
      </c>
      <c r="L141" s="214"/>
      <c r="M141" s="146" t="s">
        <v>316</v>
      </c>
      <c r="N141" s="214"/>
      <c r="O141" s="172">
        <v>46368000</v>
      </c>
      <c r="P141" s="172">
        <v>556416000</v>
      </c>
      <c r="Q141" s="172"/>
      <c r="R141" s="172"/>
      <c r="S141" s="172"/>
      <c r="T141" s="172"/>
      <c r="U141" s="217"/>
      <c r="V141" s="172">
        <f t="shared" si="17"/>
        <v>602784000</v>
      </c>
      <c r="W141" s="172">
        <f t="shared" si="16"/>
        <v>675118080.00000012</v>
      </c>
      <c r="X141" s="214"/>
      <c r="Y141" s="135">
        <v>2013</v>
      </c>
      <c r="Z141" s="232"/>
      <c r="AD141" s="233"/>
      <c r="AE141" s="233"/>
      <c r="AF141" s="233"/>
      <c r="AG141" s="233"/>
    </row>
    <row r="142" spans="2:33" s="213" customFormat="1" ht="48" customHeight="1" x14ac:dyDescent="0.25">
      <c r="B142" s="82" t="s">
        <v>776</v>
      </c>
      <c r="C142" s="82" t="s">
        <v>2</v>
      </c>
      <c r="D142" s="82" t="s">
        <v>295</v>
      </c>
      <c r="E142" s="82" t="s">
        <v>296</v>
      </c>
      <c r="F142" s="82" t="s">
        <v>296</v>
      </c>
      <c r="G142" s="82" t="s">
        <v>423</v>
      </c>
      <c r="H142" s="82" t="s">
        <v>95</v>
      </c>
      <c r="I142" s="131">
        <v>100</v>
      </c>
      <c r="J142" s="132" t="s">
        <v>1033</v>
      </c>
      <c r="K142" s="132" t="s">
        <v>424</v>
      </c>
      <c r="L142" s="214"/>
      <c r="M142" s="146" t="s">
        <v>316</v>
      </c>
      <c r="N142" s="214"/>
      <c r="O142" s="172">
        <v>272540</v>
      </c>
      <c r="P142" s="172">
        <v>272540</v>
      </c>
      <c r="Q142" s="172">
        <v>272540</v>
      </c>
      <c r="R142" s="172"/>
      <c r="S142" s="172"/>
      <c r="T142" s="172"/>
      <c r="U142" s="217"/>
      <c r="V142" s="172">
        <f t="shared" si="17"/>
        <v>817620</v>
      </c>
      <c r="W142" s="172">
        <f t="shared" si="16"/>
        <v>915734.40000000014</v>
      </c>
      <c r="X142" s="214"/>
      <c r="Y142" s="135">
        <v>2013</v>
      </c>
      <c r="Z142" s="232"/>
      <c r="AD142" s="233"/>
      <c r="AE142" s="233"/>
      <c r="AF142" s="233"/>
      <c r="AG142" s="233"/>
    </row>
    <row r="143" spans="2:33" s="213" customFormat="1" ht="48" customHeight="1" x14ac:dyDescent="0.25">
      <c r="B143" s="82" t="s">
        <v>777</v>
      </c>
      <c r="C143" s="82" t="s">
        <v>2</v>
      </c>
      <c r="D143" s="82" t="s">
        <v>295</v>
      </c>
      <c r="E143" s="82" t="s">
        <v>296</v>
      </c>
      <c r="F143" s="82" t="s">
        <v>296</v>
      </c>
      <c r="G143" s="82" t="s">
        <v>425</v>
      </c>
      <c r="H143" s="82" t="s">
        <v>3</v>
      </c>
      <c r="I143" s="131">
        <v>0</v>
      </c>
      <c r="J143" s="132" t="s">
        <v>1029</v>
      </c>
      <c r="K143" s="132" t="s">
        <v>380</v>
      </c>
      <c r="L143" s="214"/>
      <c r="M143" s="146" t="s">
        <v>426</v>
      </c>
      <c r="N143" s="214"/>
      <c r="O143" s="172">
        <v>243606660.33000001</v>
      </c>
      <c r="P143" s="172">
        <v>243606660.33000001</v>
      </c>
      <c r="Q143" s="172">
        <v>243606660.33000001</v>
      </c>
      <c r="R143" s="172"/>
      <c r="S143" s="172"/>
      <c r="T143" s="172"/>
      <c r="U143" s="217"/>
      <c r="V143" s="172">
        <f t="shared" ref="V143:V157" si="18">O143+P143+Q143</f>
        <v>730819980.99000001</v>
      </c>
      <c r="W143" s="172">
        <f t="shared" si="16"/>
        <v>818518378.70880008</v>
      </c>
      <c r="X143" s="214"/>
      <c r="Y143" s="135">
        <v>2012</v>
      </c>
      <c r="Z143" s="232"/>
      <c r="AD143" s="233"/>
      <c r="AE143" s="233"/>
      <c r="AF143" s="233"/>
      <c r="AG143" s="233"/>
    </row>
    <row r="144" spans="2:33" s="213" customFormat="1" ht="48" customHeight="1" x14ac:dyDescent="0.25">
      <c r="B144" s="82" t="s">
        <v>778</v>
      </c>
      <c r="C144" s="82" t="s">
        <v>2</v>
      </c>
      <c r="D144" s="82" t="s">
        <v>979</v>
      </c>
      <c r="E144" s="82" t="s">
        <v>980</v>
      </c>
      <c r="F144" s="82" t="s">
        <v>981</v>
      </c>
      <c r="G144" s="82" t="s">
        <v>427</v>
      </c>
      <c r="H144" s="82" t="s">
        <v>3</v>
      </c>
      <c r="I144" s="131">
        <v>0</v>
      </c>
      <c r="J144" s="132" t="s">
        <v>1029</v>
      </c>
      <c r="K144" s="132" t="s">
        <v>380</v>
      </c>
      <c r="L144" s="214"/>
      <c r="M144" s="146" t="s">
        <v>426</v>
      </c>
      <c r="N144" s="214"/>
      <c r="O144" s="172">
        <v>13182983</v>
      </c>
      <c r="P144" s="172">
        <v>13182983</v>
      </c>
      <c r="Q144" s="172">
        <v>13182983</v>
      </c>
      <c r="R144" s="172"/>
      <c r="S144" s="172"/>
      <c r="T144" s="172"/>
      <c r="U144" s="217"/>
      <c r="V144" s="172">
        <f t="shared" si="18"/>
        <v>39548949</v>
      </c>
      <c r="W144" s="172">
        <f t="shared" si="16"/>
        <v>44294822.880000003</v>
      </c>
      <c r="X144" s="214"/>
      <c r="Y144" s="135">
        <v>2012</v>
      </c>
      <c r="Z144" s="232"/>
      <c r="AD144" s="233"/>
      <c r="AE144" s="233"/>
      <c r="AF144" s="233"/>
      <c r="AG144" s="233"/>
    </row>
    <row r="145" spans="2:33" s="213" customFormat="1" ht="48" customHeight="1" x14ac:dyDescent="0.25">
      <c r="B145" s="82" t="s">
        <v>779</v>
      </c>
      <c r="C145" s="82" t="s">
        <v>2</v>
      </c>
      <c r="D145" s="82" t="s">
        <v>935</v>
      </c>
      <c r="E145" s="82" t="s">
        <v>413</v>
      </c>
      <c r="F145" s="82" t="s">
        <v>413</v>
      </c>
      <c r="G145" s="82" t="s">
        <v>428</v>
      </c>
      <c r="H145" s="82" t="s">
        <v>3</v>
      </c>
      <c r="I145" s="131">
        <v>0</v>
      </c>
      <c r="J145" s="132" t="s">
        <v>1029</v>
      </c>
      <c r="K145" s="132" t="s">
        <v>380</v>
      </c>
      <c r="L145" s="214"/>
      <c r="M145" s="146" t="s">
        <v>426</v>
      </c>
      <c r="N145" s="214"/>
      <c r="O145" s="172">
        <v>35924110.670000002</v>
      </c>
      <c r="P145" s="172">
        <v>35924110.670000002</v>
      </c>
      <c r="Q145" s="172">
        <v>35924110.670000002</v>
      </c>
      <c r="R145" s="172"/>
      <c r="S145" s="172"/>
      <c r="T145" s="172"/>
      <c r="U145" s="217"/>
      <c r="V145" s="172">
        <f t="shared" si="18"/>
        <v>107772332.01000001</v>
      </c>
      <c r="W145" s="172">
        <f t="shared" si="16"/>
        <v>120705011.85120001</v>
      </c>
      <c r="X145" s="214"/>
      <c r="Y145" s="135">
        <v>2012</v>
      </c>
      <c r="Z145" s="232"/>
      <c r="AD145" s="233"/>
      <c r="AE145" s="233"/>
      <c r="AF145" s="233"/>
      <c r="AG145" s="233"/>
    </row>
    <row r="146" spans="2:33" s="213" customFormat="1" ht="48" customHeight="1" x14ac:dyDescent="0.25">
      <c r="B146" s="82" t="s">
        <v>780</v>
      </c>
      <c r="C146" s="82" t="s">
        <v>2</v>
      </c>
      <c r="D146" s="82" t="s">
        <v>295</v>
      </c>
      <c r="E146" s="82" t="s">
        <v>296</v>
      </c>
      <c r="F146" s="82" t="s">
        <v>296</v>
      </c>
      <c r="G146" s="82" t="s">
        <v>429</v>
      </c>
      <c r="H146" s="82" t="s">
        <v>3</v>
      </c>
      <c r="I146" s="131">
        <v>0</v>
      </c>
      <c r="J146" s="132" t="s">
        <v>1029</v>
      </c>
      <c r="K146" s="132" t="s">
        <v>380</v>
      </c>
      <c r="L146" s="214"/>
      <c r="M146" s="146" t="s">
        <v>426</v>
      </c>
      <c r="N146" s="214"/>
      <c r="O146" s="172">
        <v>79066954.670000002</v>
      </c>
      <c r="P146" s="172">
        <v>79066954.670000002</v>
      </c>
      <c r="Q146" s="172">
        <v>79066954.670000002</v>
      </c>
      <c r="R146" s="172"/>
      <c r="S146" s="172"/>
      <c r="T146" s="172"/>
      <c r="U146" s="217"/>
      <c r="V146" s="172">
        <f t="shared" si="18"/>
        <v>237200864.00999999</v>
      </c>
      <c r="W146" s="172">
        <f t="shared" si="16"/>
        <v>265664967.69120002</v>
      </c>
      <c r="X146" s="214"/>
      <c r="Y146" s="135">
        <v>2012</v>
      </c>
      <c r="Z146" s="232"/>
      <c r="AD146" s="233"/>
      <c r="AE146" s="233"/>
      <c r="AF146" s="233"/>
      <c r="AG146" s="233"/>
    </row>
    <row r="147" spans="2:33" s="213" customFormat="1" ht="48" customHeight="1" x14ac:dyDescent="0.25">
      <c r="B147" s="82" t="s">
        <v>781</v>
      </c>
      <c r="C147" s="82" t="s">
        <v>2</v>
      </c>
      <c r="D147" s="82" t="s">
        <v>979</v>
      </c>
      <c r="E147" s="82" t="s">
        <v>980</v>
      </c>
      <c r="F147" s="82" t="s">
        <v>981</v>
      </c>
      <c r="G147" s="82" t="s">
        <v>430</v>
      </c>
      <c r="H147" s="82" t="s">
        <v>3</v>
      </c>
      <c r="I147" s="131">
        <v>0</v>
      </c>
      <c r="J147" s="132" t="s">
        <v>1029</v>
      </c>
      <c r="K147" s="132" t="s">
        <v>380</v>
      </c>
      <c r="L147" s="214"/>
      <c r="M147" s="146" t="s">
        <v>426</v>
      </c>
      <c r="N147" s="214"/>
      <c r="O147" s="172">
        <v>5741471</v>
      </c>
      <c r="P147" s="172">
        <v>5741471</v>
      </c>
      <c r="Q147" s="172">
        <v>5741471</v>
      </c>
      <c r="R147" s="172"/>
      <c r="S147" s="172"/>
      <c r="T147" s="172"/>
      <c r="U147" s="217"/>
      <c r="V147" s="172">
        <f t="shared" si="18"/>
        <v>17224413</v>
      </c>
      <c r="W147" s="172">
        <f t="shared" si="16"/>
        <v>19291342.560000002</v>
      </c>
      <c r="X147" s="214"/>
      <c r="Y147" s="135">
        <v>2012</v>
      </c>
      <c r="Z147" s="232"/>
      <c r="AD147" s="233"/>
      <c r="AE147" s="233"/>
      <c r="AF147" s="233"/>
      <c r="AG147" s="233"/>
    </row>
    <row r="148" spans="2:33" s="213" customFormat="1" ht="48" customHeight="1" x14ac:dyDescent="0.25">
      <c r="B148" s="82" t="s">
        <v>782</v>
      </c>
      <c r="C148" s="82" t="s">
        <v>2</v>
      </c>
      <c r="D148" s="82" t="s">
        <v>935</v>
      </c>
      <c r="E148" s="82" t="s">
        <v>413</v>
      </c>
      <c r="F148" s="82" t="s">
        <v>413</v>
      </c>
      <c r="G148" s="82" t="s">
        <v>431</v>
      </c>
      <c r="H148" s="82" t="s">
        <v>3</v>
      </c>
      <c r="I148" s="131">
        <v>0</v>
      </c>
      <c r="J148" s="132" t="s">
        <v>1029</v>
      </c>
      <c r="K148" s="132" t="s">
        <v>380</v>
      </c>
      <c r="L148" s="214"/>
      <c r="M148" s="146" t="s">
        <v>426</v>
      </c>
      <c r="N148" s="214"/>
      <c r="O148" s="172">
        <v>3891333.33</v>
      </c>
      <c r="P148" s="172">
        <v>3891333.33</v>
      </c>
      <c r="Q148" s="172">
        <v>3891333.33</v>
      </c>
      <c r="R148" s="172"/>
      <c r="S148" s="172"/>
      <c r="T148" s="172"/>
      <c r="U148" s="217"/>
      <c r="V148" s="172">
        <f t="shared" si="18"/>
        <v>11673999.99</v>
      </c>
      <c r="W148" s="172">
        <f t="shared" si="16"/>
        <v>13074879.988800002</v>
      </c>
      <c r="X148" s="214"/>
      <c r="Y148" s="135">
        <v>2012</v>
      </c>
      <c r="Z148" s="232"/>
      <c r="AD148" s="233"/>
      <c r="AE148" s="233"/>
      <c r="AF148" s="233"/>
      <c r="AG148" s="233"/>
    </row>
    <row r="149" spans="2:33" s="213" customFormat="1" ht="48" customHeight="1" x14ac:dyDescent="0.25">
      <c r="B149" s="82" t="s">
        <v>783</v>
      </c>
      <c r="C149" s="82" t="s">
        <v>2</v>
      </c>
      <c r="D149" s="82" t="s">
        <v>295</v>
      </c>
      <c r="E149" s="82" t="s">
        <v>296</v>
      </c>
      <c r="F149" s="82" t="s">
        <v>296</v>
      </c>
      <c r="G149" s="82" t="s">
        <v>432</v>
      </c>
      <c r="H149" s="82" t="s">
        <v>3</v>
      </c>
      <c r="I149" s="131">
        <v>0</v>
      </c>
      <c r="J149" s="132" t="s">
        <v>1029</v>
      </c>
      <c r="K149" s="132" t="s">
        <v>380</v>
      </c>
      <c r="L149" s="214"/>
      <c r="M149" s="146" t="s">
        <v>426</v>
      </c>
      <c r="N149" s="214"/>
      <c r="O149" s="172">
        <v>76871520</v>
      </c>
      <c r="P149" s="172">
        <v>76871520</v>
      </c>
      <c r="Q149" s="172">
        <v>76871520</v>
      </c>
      <c r="R149" s="172"/>
      <c r="S149" s="172"/>
      <c r="T149" s="172"/>
      <c r="U149" s="217"/>
      <c r="V149" s="172">
        <f t="shared" si="18"/>
        <v>230614560</v>
      </c>
      <c r="W149" s="172">
        <f t="shared" si="16"/>
        <v>258288307.20000002</v>
      </c>
      <c r="X149" s="214"/>
      <c r="Y149" s="135">
        <v>2012</v>
      </c>
      <c r="Z149" s="232"/>
      <c r="AD149" s="233"/>
      <c r="AE149" s="233"/>
      <c r="AF149" s="233"/>
      <c r="AG149" s="233"/>
    </row>
    <row r="150" spans="2:33" s="213" customFormat="1" ht="48" customHeight="1" x14ac:dyDescent="0.25">
      <c r="B150" s="82" t="s">
        <v>784</v>
      </c>
      <c r="C150" s="82" t="s">
        <v>2</v>
      </c>
      <c r="D150" s="82" t="s">
        <v>979</v>
      </c>
      <c r="E150" s="82" t="s">
        <v>980</v>
      </c>
      <c r="F150" s="82" t="s">
        <v>981</v>
      </c>
      <c r="G150" s="82" t="s">
        <v>433</v>
      </c>
      <c r="H150" s="82" t="s">
        <v>3</v>
      </c>
      <c r="I150" s="131">
        <v>0</v>
      </c>
      <c r="J150" s="132" t="s">
        <v>1029</v>
      </c>
      <c r="K150" s="132" t="s">
        <v>380</v>
      </c>
      <c r="L150" s="214"/>
      <c r="M150" s="146" t="s">
        <v>426</v>
      </c>
      <c r="N150" s="214"/>
      <c r="O150" s="172">
        <v>8872116</v>
      </c>
      <c r="P150" s="172">
        <v>8872116</v>
      </c>
      <c r="Q150" s="172">
        <v>8872116</v>
      </c>
      <c r="R150" s="172"/>
      <c r="S150" s="172"/>
      <c r="T150" s="172"/>
      <c r="U150" s="217"/>
      <c r="V150" s="172">
        <f t="shared" si="18"/>
        <v>26616348</v>
      </c>
      <c r="W150" s="172">
        <f t="shared" si="16"/>
        <v>29810309.760000002</v>
      </c>
      <c r="X150" s="214"/>
      <c r="Y150" s="135">
        <v>2012</v>
      </c>
      <c r="Z150" s="232"/>
      <c r="AD150" s="233"/>
      <c r="AE150" s="233"/>
      <c r="AF150" s="233"/>
      <c r="AG150" s="233"/>
    </row>
    <row r="151" spans="2:33" s="213" customFormat="1" ht="48" customHeight="1" x14ac:dyDescent="0.25">
      <c r="B151" s="82" t="s">
        <v>785</v>
      </c>
      <c r="C151" s="82" t="s">
        <v>2</v>
      </c>
      <c r="D151" s="82" t="s">
        <v>295</v>
      </c>
      <c r="E151" s="82" t="s">
        <v>296</v>
      </c>
      <c r="F151" s="82" t="s">
        <v>296</v>
      </c>
      <c r="G151" s="82" t="s">
        <v>434</v>
      </c>
      <c r="H151" s="82" t="s">
        <v>3</v>
      </c>
      <c r="I151" s="131">
        <v>0</v>
      </c>
      <c r="J151" s="132" t="s">
        <v>1029</v>
      </c>
      <c r="K151" s="132" t="s">
        <v>380</v>
      </c>
      <c r="L151" s="214"/>
      <c r="M151" s="146" t="s">
        <v>426</v>
      </c>
      <c r="N151" s="214"/>
      <c r="O151" s="172">
        <v>3920400</v>
      </c>
      <c r="P151" s="172">
        <v>3920400</v>
      </c>
      <c r="Q151" s="172">
        <v>3920400</v>
      </c>
      <c r="R151" s="172"/>
      <c r="S151" s="172"/>
      <c r="T151" s="172"/>
      <c r="U151" s="217"/>
      <c r="V151" s="172">
        <f t="shared" si="18"/>
        <v>11761200</v>
      </c>
      <c r="W151" s="172">
        <f t="shared" si="16"/>
        <v>13172544.000000002</v>
      </c>
      <c r="X151" s="214"/>
      <c r="Y151" s="135">
        <v>2012</v>
      </c>
      <c r="Z151" s="232"/>
      <c r="AD151" s="233"/>
      <c r="AE151" s="233"/>
      <c r="AF151" s="233"/>
      <c r="AG151" s="233"/>
    </row>
    <row r="152" spans="2:33" s="213" customFormat="1" ht="48" customHeight="1" x14ac:dyDescent="0.25">
      <c r="B152" s="82" t="s">
        <v>786</v>
      </c>
      <c r="C152" s="82" t="s">
        <v>2</v>
      </c>
      <c r="D152" s="82" t="s">
        <v>935</v>
      </c>
      <c r="E152" s="82" t="s">
        <v>413</v>
      </c>
      <c r="F152" s="82" t="s">
        <v>413</v>
      </c>
      <c r="G152" s="82" t="s">
        <v>435</v>
      </c>
      <c r="H152" s="82" t="s">
        <v>3</v>
      </c>
      <c r="I152" s="131">
        <v>0</v>
      </c>
      <c r="J152" s="132" t="s">
        <v>1029</v>
      </c>
      <c r="K152" s="132" t="s">
        <v>380</v>
      </c>
      <c r="L152" s="214"/>
      <c r="M152" s="146" t="s">
        <v>426</v>
      </c>
      <c r="N152" s="214"/>
      <c r="O152" s="172">
        <v>6138000</v>
      </c>
      <c r="P152" s="172">
        <v>6138000</v>
      </c>
      <c r="Q152" s="172">
        <v>6138000</v>
      </c>
      <c r="R152" s="172"/>
      <c r="S152" s="172"/>
      <c r="T152" s="172"/>
      <c r="U152" s="217"/>
      <c r="V152" s="172">
        <f t="shared" si="18"/>
        <v>18414000</v>
      </c>
      <c r="W152" s="172">
        <f t="shared" si="16"/>
        <v>20623680.000000004</v>
      </c>
      <c r="X152" s="214"/>
      <c r="Y152" s="135">
        <v>2012</v>
      </c>
      <c r="Z152" s="232"/>
      <c r="AD152" s="233"/>
      <c r="AE152" s="233"/>
      <c r="AF152" s="233"/>
      <c r="AG152" s="233"/>
    </row>
    <row r="153" spans="2:33" s="213" customFormat="1" ht="48" customHeight="1" x14ac:dyDescent="0.25">
      <c r="B153" s="82" t="s">
        <v>787</v>
      </c>
      <c r="C153" s="82" t="s">
        <v>2</v>
      </c>
      <c r="D153" s="82" t="s">
        <v>295</v>
      </c>
      <c r="E153" s="82" t="s">
        <v>296</v>
      </c>
      <c r="F153" s="82" t="s">
        <v>296</v>
      </c>
      <c r="G153" s="82" t="s">
        <v>436</v>
      </c>
      <c r="H153" s="82" t="s">
        <v>3</v>
      </c>
      <c r="I153" s="131">
        <v>0</v>
      </c>
      <c r="J153" s="132" t="s">
        <v>1041</v>
      </c>
      <c r="K153" s="132" t="s">
        <v>380</v>
      </c>
      <c r="L153" s="214"/>
      <c r="M153" s="146" t="s">
        <v>426</v>
      </c>
      <c r="N153" s="214"/>
      <c r="O153" s="172">
        <v>29900957.77</v>
      </c>
      <c r="P153" s="172">
        <v>29900957.77</v>
      </c>
      <c r="Q153" s="172">
        <v>29900957.77</v>
      </c>
      <c r="R153" s="172"/>
      <c r="S153" s="172"/>
      <c r="T153" s="172"/>
      <c r="U153" s="217"/>
      <c r="V153" s="172">
        <f t="shared" si="18"/>
        <v>89702873.310000002</v>
      </c>
      <c r="W153" s="172">
        <f t="shared" si="16"/>
        <v>100467218.10720001</v>
      </c>
      <c r="X153" s="214"/>
      <c r="Y153" s="135">
        <v>2013</v>
      </c>
      <c r="Z153" s="232"/>
      <c r="AD153" s="233"/>
      <c r="AE153" s="233"/>
      <c r="AF153" s="233"/>
      <c r="AG153" s="233"/>
    </row>
    <row r="154" spans="2:33" s="213" customFormat="1" ht="48" customHeight="1" x14ac:dyDescent="0.25">
      <c r="B154" s="82" t="s">
        <v>788</v>
      </c>
      <c r="C154" s="82" t="s">
        <v>2</v>
      </c>
      <c r="D154" s="82" t="s">
        <v>295</v>
      </c>
      <c r="E154" s="82" t="s">
        <v>296</v>
      </c>
      <c r="F154" s="82" t="s">
        <v>296</v>
      </c>
      <c r="G154" s="82" t="s">
        <v>437</v>
      </c>
      <c r="H154" s="82" t="s">
        <v>3</v>
      </c>
      <c r="I154" s="131">
        <v>0</v>
      </c>
      <c r="J154" s="132" t="s">
        <v>1041</v>
      </c>
      <c r="K154" s="132" t="s">
        <v>380</v>
      </c>
      <c r="L154" s="214"/>
      <c r="M154" s="146" t="s">
        <v>426</v>
      </c>
      <c r="N154" s="214"/>
      <c r="O154" s="172">
        <v>3184136.98</v>
      </c>
      <c r="P154" s="172">
        <v>3184136.98</v>
      </c>
      <c r="Q154" s="172">
        <v>3184136.98</v>
      </c>
      <c r="R154" s="172"/>
      <c r="S154" s="172"/>
      <c r="T154" s="172"/>
      <c r="U154" s="217"/>
      <c r="V154" s="172">
        <f t="shared" si="18"/>
        <v>9552410.9399999995</v>
      </c>
      <c r="W154" s="172">
        <f t="shared" si="16"/>
        <v>10698700.252800001</v>
      </c>
      <c r="X154" s="214"/>
      <c r="Y154" s="135">
        <v>2013</v>
      </c>
      <c r="Z154" s="232"/>
      <c r="AD154" s="233"/>
      <c r="AE154" s="233"/>
      <c r="AF154" s="233"/>
      <c r="AG154" s="233"/>
    </row>
    <row r="155" spans="2:33" s="213" customFormat="1" ht="48" customHeight="1" x14ac:dyDescent="0.25">
      <c r="B155" s="82" t="s">
        <v>789</v>
      </c>
      <c r="C155" s="82" t="s">
        <v>2</v>
      </c>
      <c r="D155" s="82" t="s">
        <v>979</v>
      </c>
      <c r="E155" s="82" t="s">
        <v>980</v>
      </c>
      <c r="F155" s="82" t="s">
        <v>981</v>
      </c>
      <c r="G155" s="82" t="s">
        <v>438</v>
      </c>
      <c r="H155" s="82" t="s">
        <v>3</v>
      </c>
      <c r="I155" s="131">
        <v>0</v>
      </c>
      <c r="J155" s="132" t="s">
        <v>1041</v>
      </c>
      <c r="K155" s="132" t="s">
        <v>380</v>
      </c>
      <c r="L155" s="214"/>
      <c r="M155" s="146" t="s">
        <v>426</v>
      </c>
      <c r="N155" s="214"/>
      <c r="O155" s="172">
        <v>2977038.85</v>
      </c>
      <c r="P155" s="172">
        <v>2977038.85</v>
      </c>
      <c r="Q155" s="172">
        <v>2977038.85</v>
      </c>
      <c r="R155" s="172"/>
      <c r="S155" s="172"/>
      <c r="T155" s="172"/>
      <c r="U155" s="217"/>
      <c r="V155" s="172">
        <f t="shared" si="18"/>
        <v>8931116.5500000007</v>
      </c>
      <c r="W155" s="172">
        <f t="shared" si="16"/>
        <v>10002850.536000002</v>
      </c>
      <c r="X155" s="214"/>
      <c r="Y155" s="135">
        <v>2013</v>
      </c>
      <c r="Z155" s="232"/>
      <c r="AD155" s="233"/>
      <c r="AE155" s="233"/>
      <c r="AF155" s="233"/>
      <c r="AG155" s="233"/>
    </row>
    <row r="156" spans="2:33" s="213" customFormat="1" ht="48" customHeight="1" x14ac:dyDescent="0.25">
      <c r="B156" s="82" t="s">
        <v>790</v>
      </c>
      <c r="C156" s="82" t="s">
        <v>2</v>
      </c>
      <c r="D156" s="82" t="s">
        <v>295</v>
      </c>
      <c r="E156" s="82" t="s">
        <v>296</v>
      </c>
      <c r="F156" s="82" t="s">
        <v>296</v>
      </c>
      <c r="G156" s="82" t="s">
        <v>439</v>
      </c>
      <c r="H156" s="82" t="s">
        <v>3</v>
      </c>
      <c r="I156" s="131">
        <v>0</v>
      </c>
      <c r="J156" s="132" t="s">
        <v>1041</v>
      </c>
      <c r="K156" s="132" t="s">
        <v>380</v>
      </c>
      <c r="L156" s="214"/>
      <c r="M156" s="146" t="s">
        <v>426</v>
      </c>
      <c r="N156" s="214"/>
      <c r="O156" s="172">
        <v>2532528.9</v>
      </c>
      <c r="P156" s="172">
        <v>2532528.9</v>
      </c>
      <c r="Q156" s="172">
        <v>2532528.9</v>
      </c>
      <c r="R156" s="172"/>
      <c r="S156" s="172"/>
      <c r="T156" s="172"/>
      <c r="U156" s="217"/>
      <c r="V156" s="172">
        <f t="shared" si="18"/>
        <v>7597586.6999999993</v>
      </c>
      <c r="W156" s="172">
        <f t="shared" si="16"/>
        <v>8509297.1040000003</v>
      </c>
      <c r="X156" s="214"/>
      <c r="Y156" s="135">
        <v>2013</v>
      </c>
      <c r="Z156" s="232"/>
      <c r="AD156" s="233"/>
      <c r="AE156" s="233"/>
      <c r="AF156" s="233"/>
      <c r="AG156" s="233"/>
    </row>
    <row r="157" spans="2:33" s="213" customFormat="1" ht="48" customHeight="1" x14ac:dyDescent="0.25">
      <c r="B157" s="82" t="s">
        <v>791</v>
      </c>
      <c r="C157" s="82" t="s">
        <v>2</v>
      </c>
      <c r="D157" s="82" t="s">
        <v>935</v>
      </c>
      <c r="E157" s="82" t="s">
        <v>413</v>
      </c>
      <c r="F157" s="82" t="s">
        <v>413</v>
      </c>
      <c r="G157" s="82" t="s">
        <v>440</v>
      </c>
      <c r="H157" s="82" t="s">
        <v>3</v>
      </c>
      <c r="I157" s="131">
        <v>0</v>
      </c>
      <c r="J157" s="132" t="s">
        <v>1041</v>
      </c>
      <c r="K157" s="132" t="s">
        <v>380</v>
      </c>
      <c r="L157" s="214"/>
      <c r="M157" s="146" t="s">
        <v>426</v>
      </c>
      <c r="N157" s="214"/>
      <c r="O157" s="172">
        <v>4685868</v>
      </c>
      <c r="P157" s="172">
        <v>4685868</v>
      </c>
      <c r="Q157" s="172">
        <v>4685868</v>
      </c>
      <c r="R157" s="172"/>
      <c r="S157" s="172"/>
      <c r="T157" s="172"/>
      <c r="U157" s="217"/>
      <c r="V157" s="172">
        <f t="shared" si="18"/>
        <v>14057604</v>
      </c>
      <c r="W157" s="172">
        <f t="shared" si="16"/>
        <v>15744516.480000002</v>
      </c>
      <c r="X157" s="214"/>
      <c r="Y157" s="135">
        <v>2013</v>
      </c>
      <c r="Z157" s="232"/>
      <c r="AD157" s="233"/>
      <c r="AE157" s="233"/>
      <c r="AF157" s="233"/>
      <c r="AG157" s="233"/>
    </row>
    <row r="158" spans="2:33" s="213" customFormat="1" ht="48" customHeight="1" x14ac:dyDescent="0.25">
      <c r="B158" s="82" t="s">
        <v>792</v>
      </c>
      <c r="C158" s="82" t="s">
        <v>2</v>
      </c>
      <c r="D158" s="82" t="s">
        <v>935</v>
      </c>
      <c r="E158" s="82" t="s">
        <v>413</v>
      </c>
      <c r="F158" s="82" t="s">
        <v>413</v>
      </c>
      <c r="G158" s="109" t="s">
        <v>441</v>
      </c>
      <c r="H158" s="109" t="s">
        <v>95</v>
      </c>
      <c r="I158" s="131">
        <v>0</v>
      </c>
      <c r="J158" s="132" t="s">
        <v>402</v>
      </c>
      <c r="K158" s="132" t="s">
        <v>442</v>
      </c>
      <c r="L158" s="214"/>
      <c r="M158" s="146" t="s">
        <v>27</v>
      </c>
      <c r="N158" s="217"/>
      <c r="O158" s="172">
        <v>2057000</v>
      </c>
      <c r="P158" s="172"/>
      <c r="Q158" s="172"/>
      <c r="R158" s="172"/>
      <c r="S158" s="172"/>
      <c r="T158" s="172"/>
      <c r="U158" s="217"/>
      <c r="V158" s="172">
        <v>2400000</v>
      </c>
      <c r="W158" s="172">
        <f t="shared" si="16"/>
        <v>2688000.0000000005</v>
      </c>
      <c r="X158" s="214"/>
      <c r="Y158" s="135">
        <v>2012</v>
      </c>
      <c r="Z158" s="232"/>
      <c r="AD158" s="233"/>
      <c r="AE158" s="233"/>
      <c r="AF158" s="233"/>
      <c r="AG158" s="233"/>
    </row>
    <row r="159" spans="2:33" s="213" customFormat="1" ht="48" customHeight="1" x14ac:dyDescent="0.25">
      <c r="B159" s="82" t="s">
        <v>793</v>
      </c>
      <c r="C159" s="82" t="s">
        <v>2</v>
      </c>
      <c r="D159" s="82" t="s">
        <v>744</v>
      </c>
      <c r="E159" s="82" t="s">
        <v>745</v>
      </c>
      <c r="F159" s="82" t="s">
        <v>745</v>
      </c>
      <c r="G159" s="82" t="s">
        <v>936</v>
      </c>
      <c r="H159" s="82" t="s">
        <v>95</v>
      </c>
      <c r="I159" s="131">
        <v>0</v>
      </c>
      <c r="J159" s="132" t="s">
        <v>1042</v>
      </c>
      <c r="K159" s="55" t="s">
        <v>41</v>
      </c>
      <c r="L159" s="214"/>
      <c r="M159" s="146" t="s">
        <v>27</v>
      </c>
      <c r="N159" s="217"/>
      <c r="O159" s="172">
        <v>288516</v>
      </c>
      <c r="P159" s="172">
        <v>288516</v>
      </c>
      <c r="Q159" s="172">
        <v>288516</v>
      </c>
      <c r="R159" s="172"/>
      <c r="S159" s="172"/>
      <c r="T159" s="172"/>
      <c r="U159" s="217"/>
      <c r="V159" s="172">
        <v>1009800</v>
      </c>
      <c r="W159" s="172">
        <f t="shared" si="16"/>
        <v>1130976</v>
      </c>
      <c r="X159" s="214"/>
      <c r="Y159" s="135">
        <v>2012</v>
      </c>
      <c r="Z159" s="232"/>
      <c r="AD159" s="233"/>
      <c r="AE159" s="233"/>
      <c r="AF159" s="233"/>
      <c r="AG159" s="233"/>
    </row>
    <row r="160" spans="2:33" s="213" customFormat="1" ht="48" customHeight="1" x14ac:dyDescent="0.25">
      <c r="B160" s="82" t="s">
        <v>794</v>
      </c>
      <c r="C160" s="82" t="s">
        <v>2</v>
      </c>
      <c r="D160" s="130" t="s">
        <v>418</v>
      </c>
      <c r="E160" s="130" t="s">
        <v>419</v>
      </c>
      <c r="F160" s="130" t="s">
        <v>419</v>
      </c>
      <c r="G160" s="130" t="s">
        <v>443</v>
      </c>
      <c r="H160" s="130" t="s">
        <v>95</v>
      </c>
      <c r="I160" s="131">
        <v>0</v>
      </c>
      <c r="J160" s="132" t="s">
        <v>1043</v>
      </c>
      <c r="K160" s="132" t="s">
        <v>444</v>
      </c>
      <c r="L160" s="214"/>
      <c r="M160" s="146" t="s">
        <v>27</v>
      </c>
      <c r="N160" s="217"/>
      <c r="O160" s="172">
        <f>74579.15*12</f>
        <v>894949.79999999993</v>
      </c>
      <c r="P160" s="172">
        <f>74579.15*10</f>
        <v>745791.5</v>
      </c>
      <c r="Q160" s="172"/>
      <c r="R160" s="172"/>
      <c r="S160" s="172"/>
      <c r="T160" s="172"/>
      <c r="U160" s="217"/>
      <c r="V160" s="172">
        <v>2461112.1</v>
      </c>
      <c r="W160" s="172">
        <f t="shared" si="16"/>
        <v>2756445.5520000001</v>
      </c>
      <c r="X160" s="214"/>
      <c r="Y160" s="135">
        <v>2012</v>
      </c>
      <c r="Z160" s="232"/>
      <c r="AD160" s="233"/>
      <c r="AE160" s="233"/>
      <c r="AF160" s="233"/>
      <c r="AG160" s="233"/>
    </row>
    <row r="161" spans="2:33" s="213" customFormat="1" ht="48" customHeight="1" x14ac:dyDescent="0.25">
      <c r="B161" s="82" t="s">
        <v>795</v>
      </c>
      <c r="C161" s="82" t="s">
        <v>2</v>
      </c>
      <c r="D161" s="82" t="s">
        <v>445</v>
      </c>
      <c r="E161" s="82" t="s">
        <v>446</v>
      </c>
      <c r="F161" s="82" t="s">
        <v>447</v>
      </c>
      <c r="G161" s="82" t="s">
        <v>448</v>
      </c>
      <c r="H161" s="82" t="s">
        <v>3</v>
      </c>
      <c r="I161" s="131">
        <v>0</v>
      </c>
      <c r="J161" s="132" t="s">
        <v>1026</v>
      </c>
      <c r="K161" s="132" t="s">
        <v>449</v>
      </c>
      <c r="L161" s="214"/>
      <c r="M161" s="146" t="s">
        <v>252</v>
      </c>
      <c r="N161" s="217"/>
      <c r="O161" s="172">
        <v>24948000</v>
      </c>
      <c r="P161" s="172">
        <v>24948000</v>
      </c>
      <c r="Q161" s="172">
        <v>24948000</v>
      </c>
      <c r="R161" s="172"/>
      <c r="S161" s="172"/>
      <c r="T161" s="172"/>
      <c r="U161" s="217"/>
      <c r="V161" s="172">
        <v>83160000</v>
      </c>
      <c r="W161" s="172">
        <f t="shared" si="16"/>
        <v>93139200.000000015</v>
      </c>
      <c r="X161" s="214"/>
      <c r="Y161" s="135">
        <v>2012</v>
      </c>
      <c r="Z161" s="232"/>
      <c r="AD161" s="233"/>
      <c r="AE161" s="233"/>
      <c r="AF161" s="233"/>
      <c r="AG161" s="233"/>
    </row>
    <row r="162" spans="2:33" s="213" customFormat="1" ht="48" customHeight="1" x14ac:dyDescent="0.25">
      <c r="B162" s="82" t="s">
        <v>796</v>
      </c>
      <c r="C162" s="82" t="s">
        <v>2</v>
      </c>
      <c r="D162" s="82" t="s">
        <v>450</v>
      </c>
      <c r="E162" s="82" t="s">
        <v>451</v>
      </c>
      <c r="F162" s="82" t="s">
        <v>451</v>
      </c>
      <c r="G162" s="82" t="s">
        <v>452</v>
      </c>
      <c r="H162" s="82" t="s">
        <v>3</v>
      </c>
      <c r="I162" s="131">
        <v>0</v>
      </c>
      <c r="J162" s="132" t="s">
        <v>1032</v>
      </c>
      <c r="K162" s="132" t="s">
        <v>14</v>
      </c>
      <c r="L162" s="214"/>
      <c r="M162" s="146" t="s">
        <v>27</v>
      </c>
      <c r="N162" s="214"/>
      <c r="O162" s="172">
        <v>4605248550</v>
      </c>
      <c r="P162" s="172">
        <v>5409126600</v>
      </c>
      <c r="Q162" s="172">
        <v>5974640700</v>
      </c>
      <c r="R162" s="172"/>
      <c r="S162" s="172"/>
      <c r="T162" s="172"/>
      <c r="U162" s="217"/>
      <c r="V162" s="172">
        <f>O162+P162+Q162+R162+S162</f>
        <v>15989015850</v>
      </c>
      <c r="W162" s="172">
        <f t="shared" si="16"/>
        <v>17907697752</v>
      </c>
      <c r="X162" s="214"/>
      <c r="Y162" s="135">
        <v>2012</v>
      </c>
      <c r="Z162" s="232"/>
      <c r="AD162" s="233"/>
      <c r="AE162" s="233"/>
      <c r="AF162" s="233"/>
      <c r="AG162" s="233"/>
    </row>
    <row r="163" spans="2:33" s="213" customFormat="1" ht="48" customHeight="1" x14ac:dyDescent="0.25">
      <c r="B163" s="82" t="s">
        <v>797</v>
      </c>
      <c r="C163" s="82" t="s">
        <v>2</v>
      </c>
      <c r="D163" s="82" t="s">
        <v>450</v>
      </c>
      <c r="E163" s="82" t="s">
        <v>451</v>
      </c>
      <c r="F163" s="82" t="s">
        <v>451</v>
      </c>
      <c r="G163" s="82" t="s">
        <v>453</v>
      </c>
      <c r="H163" s="82" t="s">
        <v>3</v>
      </c>
      <c r="I163" s="131">
        <v>0</v>
      </c>
      <c r="J163" s="132" t="s">
        <v>1034</v>
      </c>
      <c r="K163" s="132" t="s">
        <v>449</v>
      </c>
      <c r="L163" s="214"/>
      <c r="M163" s="146" t="s">
        <v>27</v>
      </c>
      <c r="N163" s="214"/>
      <c r="O163" s="172">
        <v>45431496</v>
      </c>
      <c r="P163" s="172">
        <v>95015795</v>
      </c>
      <c r="Q163" s="172">
        <v>101196959</v>
      </c>
      <c r="R163" s="172">
        <v>52543458</v>
      </c>
      <c r="S163" s="172"/>
      <c r="T163" s="172"/>
      <c r="U163" s="217"/>
      <c r="V163" s="172">
        <f>O163+P163+Q163+R163+S163</f>
        <v>294187708</v>
      </c>
      <c r="W163" s="172">
        <f t="shared" si="16"/>
        <v>329490232.96000004</v>
      </c>
      <c r="X163" s="214"/>
      <c r="Y163" s="135">
        <v>2013</v>
      </c>
      <c r="Z163" s="232"/>
      <c r="AD163" s="233"/>
      <c r="AE163" s="233"/>
      <c r="AF163" s="233"/>
      <c r="AG163" s="233"/>
    </row>
    <row r="164" spans="2:33" s="213" customFormat="1" ht="48" customHeight="1" x14ac:dyDescent="0.25">
      <c r="B164" s="82" t="s">
        <v>798</v>
      </c>
      <c r="C164" s="82" t="s">
        <v>2</v>
      </c>
      <c r="D164" s="82" t="s">
        <v>454</v>
      </c>
      <c r="E164" s="82" t="s">
        <v>455</v>
      </c>
      <c r="F164" s="82" t="s">
        <v>455</v>
      </c>
      <c r="G164" s="82" t="s">
        <v>456</v>
      </c>
      <c r="H164" s="82" t="s">
        <v>3</v>
      </c>
      <c r="I164" s="131">
        <v>70</v>
      </c>
      <c r="J164" s="132" t="s">
        <v>1029</v>
      </c>
      <c r="K164" s="132" t="s">
        <v>380</v>
      </c>
      <c r="L164" s="214"/>
      <c r="M164" s="146" t="s">
        <v>426</v>
      </c>
      <c r="N164" s="214"/>
      <c r="O164" s="172">
        <v>324270167.19999999</v>
      </c>
      <c r="P164" s="172">
        <v>602216024.79999995</v>
      </c>
      <c r="Q164" s="172"/>
      <c r="R164" s="172"/>
      <c r="S164" s="172"/>
      <c r="T164" s="172"/>
      <c r="U164" s="217"/>
      <c r="V164" s="172">
        <f>O164+P164+Q164+R164+S164</f>
        <v>926486192</v>
      </c>
      <c r="W164" s="172">
        <f t="shared" si="16"/>
        <v>1037664535.0400001</v>
      </c>
      <c r="X164" s="214"/>
      <c r="Y164" s="135">
        <v>2012</v>
      </c>
      <c r="Z164" s="232"/>
      <c r="AD164" s="233"/>
      <c r="AE164" s="233"/>
      <c r="AF164" s="233"/>
      <c r="AG164" s="233"/>
    </row>
    <row r="165" spans="2:33" s="213" customFormat="1" ht="48" customHeight="1" x14ac:dyDescent="0.25">
      <c r="B165" s="82" t="s">
        <v>799</v>
      </c>
      <c r="C165" s="82" t="s">
        <v>2</v>
      </c>
      <c r="D165" s="82" t="s">
        <v>454</v>
      </c>
      <c r="E165" s="82" t="s">
        <v>455</v>
      </c>
      <c r="F165" s="82" t="s">
        <v>455</v>
      </c>
      <c r="G165" s="82" t="s">
        <v>457</v>
      </c>
      <c r="H165" s="82" t="s">
        <v>3</v>
      </c>
      <c r="I165" s="131">
        <v>0</v>
      </c>
      <c r="J165" s="132" t="s">
        <v>1039</v>
      </c>
      <c r="K165" s="132" t="s">
        <v>458</v>
      </c>
      <c r="L165" s="214"/>
      <c r="M165" s="146" t="s">
        <v>426</v>
      </c>
      <c r="N165" s="214"/>
      <c r="O165" s="172">
        <v>875004</v>
      </c>
      <c r="P165" s="172">
        <v>243162</v>
      </c>
      <c r="Q165" s="172"/>
      <c r="R165" s="172"/>
      <c r="S165" s="172"/>
      <c r="T165" s="172"/>
      <c r="U165" s="217"/>
      <c r="V165" s="172">
        <f>P165+O165</f>
        <v>1118166</v>
      </c>
      <c r="W165" s="172">
        <f t="shared" si="16"/>
        <v>1252345.9200000002</v>
      </c>
      <c r="X165" s="214"/>
      <c r="Y165" s="135">
        <v>2013</v>
      </c>
      <c r="Z165" s="232"/>
      <c r="AD165" s="233"/>
      <c r="AE165" s="233"/>
      <c r="AF165" s="233"/>
      <c r="AG165" s="233"/>
    </row>
    <row r="166" spans="2:33" s="213" customFormat="1" ht="48" customHeight="1" x14ac:dyDescent="0.25">
      <c r="B166" s="82" t="s">
        <v>800</v>
      </c>
      <c r="C166" s="82" t="s">
        <v>2</v>
      </c>
      <c r="D166" s="82" t="s">
        <v>454</v>
      </c>
      <c r="E166" s="82" t="s">
        <v>455</v>
      </c>
      <c r="F166" s="82" t="s">
        <v>455</v>
      </c>
      <c r="G166" s="82" t="s">
        <v>459</v>
      </c>
      <c r="H166" s="82" t="s">
        <v>3</v>
      </c>
      <c r="I166" s="131">
        <v>0</v>
      </c>
      <c r="J166" s="132" t="s">
        <v>1039</v>
      </c>
      <c r="K166" s="132" t="s">
        <v>460</v>
      </c>
      <c r="L166" s="214"/>
      <c r="M166" s="146" t="s">
        <v>426</v>
      </c>
      <c r="N166" s="214"/>
      <c r="O166" s="172">
        <v>3228750</v>
      </c>
      <c r="P166" s="172">
        <v>3228750</v>
      </c>
      <c r="Q166" s="172"/>
      <c r="R166" s="172"/>
      <c r="S166" s="172"/>
      <c r="T166" s="172"/>
      <c r="U166" s="217"/>
      <c r="V166" s="172">
        <f>P166+O166</f>
        <v>6457500</v>
      </c>
      <c r="W166" s="172">
        <f t="shared" si="16"/>
        <v>7232400.0000000009</v>
      </c>
      <c r="X166" s="214"/>
      <c r="Y166" s="135">
        <v>2013</v>
      </c>
      <c r="Z166" s="232"/>
      <c r="AD166" s="233"/>
      <c r="AE166" s="233"/>
      <c r="AF166" s="233"/>
      <c r="AG166" s="233"/>
    </row>
    <row r="167" spans="2:33" s="213" customFormat="1" ht="48" customHeight="1" x14ac:dyDescent="0.25">
      <c r="B167" s="82" t="s">
        <v>801</v>
      </c>
      <c r="C167" s="82" t="s">
        <v>2</v>
      </c>
      <c r="D167" s="82" t="s">
        <v>454</v>
      </c>
      <c r="E167" s="82" t="s">
        <v>455</v>
      </c>
      <c r="F167" s="82" t="s">
        <v>455</v>
      </c>
      <c r="G167" s="82" t="s">
        <v>461</v>
      </c>
      <c r="H167" s="82" t="s">
        <v>3</v>
      </c>
      <c r="I167" s="131">
        <v>0</v>
      </c>
      <c r="J167" s="132" t="s">
        <v>1039</v>
      </c>
      <c r="K167" s="132" t="s">
        <v>460</v>
      </c>
      <c r="L167" s="214"/>
      <c r="M167" s="146" t="s">
        <v>426</v>
      </c>
      <c r="N167" s="214"/>
      <c r="O167" s="172">
        <v>2152500</v>
      </c>
      <c r="P167" s="172">
        <v>2152500</v>
      </c>
      <c r="Q167" s="172"/>
      <c r="R167" s="172"/>
      <c r="S167" s="172"/>
      <c r="T167" s="172"/>
      <c r="U167" s="217"/>
      <c r="V167" s="172">
        <f>P167+O167</f>
        <v>4305000</v>
      </c>
      <c r="W167" s="172">
        <f t="shared" si="16"/>
        <v>4821600</v>
      </c>
      <c r="X167" s="214"/>
      <c r="Y167" s="135">
        <v>2013</v>
      </c>
      <c r="Z167" s="232"/>
      <c r="AD167" s="233"/>
      <c r="AE167" s="233"/>
      <c r="AF167" s="233"/>
      <c r="AG167" s="233"/>
    </row>
    <row r="168" spans="2:33" s="213" customFormat="1" ht="48" customHeight="1" x14ac:dyDescent="0.25">
      <c r="B168" s="82" t="s">
        <v>802</v>
      </c>
      <c r="C168" s="82" t="s">
        <v>2</v>
      </c>
      <c r="D168" s="82" t="s">
        <v>454</v>
      </c>
      <c r="E168" s="82" t="s">
        <v>455</v>
      </c>
      <c r="F168" s="82" t="s">
        <v>455</v>
      </c>
      <c r="G168" s="82" t="s">
        <v>462</v>
      </c>
      <c r="H168" s="82" t="s">
        <v>3</v>
      </c>
      <c r="I168" s="131">
        <v>100</v>
      </c>
      <c r="J168" s="132" t="s">
        <v>1044</v>
      </c>
      <c r="K168" s="55" t="s">
        <v>41</v>
      </c>
      <c r="L168" s="214"/>
      <c r="M168" s="146" t="s">
        <v>333</v>
      </c>
      <c r="N168" s="214"/>
      <c r="O168" s="172">
        <v>3588000</v>
      </c>
      <c r="P168" s="172">
        <v>3588000</v>
      </c>
      <c r="Q168" s="172"/>
      <c r="R168" s="172"/>
      <c r="S168" s="172"/>
      <c r="T168" s="172"/>
      <c r="U168" s="217"/>
      <c r="V168" s="172">
        <v>7176000</v>
      </c>
      <c r="W168" s="172">
        <f t="shared" si="16"/>
        <v>8037120.0000000009</v>
      </c>
      <c r="X168" s="214"/>
      <c r="Y168" s="135">
        <v>2013</v>
      </c>
      <c r="Z168" s="232"/>
      <c r="AD168" s="233"/>
      <c r="AE168" s="233"/>
      <c r="AF168" s="233"/>
      <c r="AG168" s="233"/>
    </row>
    <row r="169" spans="2:33" s="213" customFormat="1" ht="48" customHeight="1" x14ac:dyDescent="0.25">
      <c r="B169" s="82" t="s">
        <v>803</v>
      </c>
      <c r="C169" s="82" t="s">
        <v>2</v>
      </c>
      <c r="D169" s="82" t="s">
        <v>454</v>
      </c>
      <c r="E169" s="82" t="s">
        <v>455</v>
      </c>
      <c r="F169" s="82" t="s">
        <v>455</v>
      </c>
      <c r="G169" s="82" t="s">
        <v>463</v>
      </c>
      <c r="H169" s="82" t="s">
        <v>3</v>
      </c>
      <c r="I169" s="131">
        <v>100</v>
      </c>
      <c r="J169" s="132" t="s">
        <v>1044</v>
      </c>
      <c r="K169" s="55" t="s">
        <v>41</v>
      </c>
      <c r="L169" s="214"/>
      <c r="M169" s="146" t="s">
        <v>333</v>
      </c>
      <c r="N169" s="214"/>
      <c r="O169" s="172">
        <v>1131000</v>
      </c>
      <c r="P169" s="172">
        <v>1131000</v>
      </c>
      <c r="Q169" s="172"/>
      <c r="R169" s="172"/>
      <c r="S169" s="172"/>
      <c r="T169" s="172"/>
      <c r="U169" s="217"/>
      <c r="V169" s="172">
        <v>2262000</v>
      </c>
      <c r="W169" s="172">
        <f t="shared" si="16"/>
        <v>2533440.0000000005</v>
      </c>
      <c r="X169" s="214"/>
      <c r="Y169" s="135">
        <v>2013</v>
      </c>
      <c r="Z169" s="232"/>
      <c r="AD169" s="233"/>
      <c r="AE169" s="233"/>
      <c r="AF169" s="233"/>
      <c r="AG169" s="233"/>
    </row>
    <row r="170" spans="2:33" s="213" customFormat="1" ht="48" customHeight="1" x14ac:dyDescent="0.25">
      <c r="B170" s="82" t="s">
        <v>804</v>
      </c>
      <c r="C170" s="82" t="s">
        <v>2</v>
      </c>
      <c r="D170" s="82" t="s">
        <v>454</v>
      </c>
      <c r="E170" s="82" t="s">
        <v>455</v>
      </c>
      <c r="F170" s="82" t="s">
        <v>455</v>
      </c>
      <c r="G170" s="82" t="s">
        <v>464</v>
      </c>
      <c r="H170" s="82" t="s">
        <v>3</v>
      </c>
      <c r="I170" s="131">
        <v>100</v>
      </c>
      <c r="J170" s="132" t="s">
        <v>1044</v>
      </c>
      <c r="K170" s="55" t="s">
        <v>41</v>
      </c>
      <c r="L170" s="214"/>
      <c r="M170" s="146" t="s">
        <v>333</v>
      </c>
      <c r="N170" s="214"/>
      <c r="O170" s="172">
        <v>1956240</v>
      </c>
      <c r="P170" s="172">
        <v>1956240</v>
      </c>
      <c r="Q170" s="172"/>
      <c r="R170" s="172"/>
      <c r="S170" s="172"/>
      <c r="T170" s="172"/>
      <c r="U170" s="217"/>
      <c r="V170" s="172">
        <v>3912480</v>
      </c>
      <c r="W170" s="172">
        <f t="shared" si="16"/>
        <v>4381977.6000000006</v>
      </c>
      <c r="X170" s="214"/>
      <c r="Y170" s="135">
        <v>2013</v>
      </c>
      <c r="Z170" s="232"/>
      <c r="AD170" s="233"/>
      <c r="AE170" s="233"/>
      <c r="AF170" s="233"/>
      <c r="AG170" s="233"/>
    </row>
    <row r="171" spans="2:33" s="213" customFormat="1" ht="48" customHeight="1" x14ac:dyDescent="0.25">
      <c r="B171" s="82" t="s">
        <v>805</v>
      </c>
      <c r="C171" s="82" t="s">
        <v>2</v>
      </c>
      <c r="D171" s="82" t="s">
        <v>454</v>
      </c>
      <c r="E171" s="82" t="s">
        <v>455</v>
      </c>
      <c r="F171" s="82" t="s">
        <v>455</v>
      </c>
      <c r="G171" s="82" t="s">
        <v>465</v>
      </c>
      <c r="H171" s="82" t="s">
        <v>3</v>
      </c>
      <c r="I171" s="131">
        <v>100</v>
      </c>
      <c r="J171" s="132" t="s">
        <v>1044</v>
      </c>
      <c r="K171" s="55" t="s">
        <v>41</v>
      </c>
      <c r="L171" s="214"/>
      <c r="M171" s="146" t="s">
        <v>333</v>
      </c>
      <c r="N171" s="214"/>
      <c r="O171" s="172">
        <v>737500</v>
      </c>
      <c r="P171" s="172">
        <v>737500</v>
      </c>
      <c r="Q171" s="172"/>
      <c r="R171" s="172"/>
      <c r="S171" s="172"/>
      <c r="T171" s="172"/>
      <c r="U171" s="217"/>
      <c r="V171" s="172">
        <v>1475000</v>
      </c>
      <c r="W171" s="172">
        <f t="shared" si="16"/>
        <v>1652000.0000000002</v>
      </c>
      <c r="X171" s="214"/>
      <c r="Y171" s="135">
        <v>2013</v>
      </c>
      <c r="Z171" s="232"/>
      <c r="AD171" s="233"/>
      <c r="AE171" s="233"/>
      <c r="AF171" s="233"/>
      <c r="AG171" s="233"/>
    </row>
    <row r="172" spans="2:33" s="213" customFormat="1" ht="48" customHeight="1" x14ac:dyDescent="0.25">
      <c r="B172" s="82" t="s">
        <v>806</v>
      </c>
      <c r="C172" s="82" t="s">
        <v>2</v>
      </c>
      <c r="D172" s="82" t="s">
        <v>454</v>
      </c>
      <c r="E172" s="82" t="s">
        <v>455</v>
      </c>
      <c r="F172" s="82" t="s">
        <v>455</v>
      </c>
      <c r="G172" s="82" t="s">
        <v>466</v>
      </c>
      <c r="H172" s="82" t="s">
        <v>3</v>
      </c>
      <c r="I172" s="131">
        <v>100</v>
      </c>
      <c r="J172" s="132" t="s">
        <v>1044</v>
      </c>
      <c r="K172" s="55" t="s">
        <v>41</v>
      </c>
      <c r="L172" s="214"/>
      <c r="M172" s="146" t="s">
        <v>333</v>
      </c>
      <c r="N172" s="214"/>
      <c r="O172" s="172">
        <v>1521000</v>
      </c>
      <c r="P172" s="172">
        <v>1521000</v>
      </c>
      <c r="Q172" s="172"/>
      <c r="R172" s="172"/>
      <c r="S172" s="172"/>
      <c r="T172" s="172"/>
      <c r="U172" s="217"/>
      <c r="V172" s="172">
        <v>3042000</v>
      </c>
      <c r="W172" s="172">
        <f t="shared" si="16"/>
        <v>3407040.0000000005</v>
      </c>
      <c r="X172" s="214"/>
      <c r="Y172" s="135">
        <v>2013</v>
      </c>
      <c r="Z172" s="232"/>
      <c r="AD172" s="233"/>
      <c r="AE172" s="233"/>
      <c r="AF172" s="233"/>
      <c r="AG172" s="233"/>
    </row>
    <row r="173" spans="2:33" s="213" customFormat="1" ht="48" customHeight="1" x14ac:dyDescent="0.25">
      <c r="B173" s="82" t="s">
        <v>807</v>
      </c>
      <c r="C173" s="82" t="s">
        <v>2</v>
      </c>
      <c r="D173" s="82" t="s">
        <v>454</v>
      </c>
      <c r="E173" s="82" t="s">
        <v>455</v>
      </c>
      <c r="F173" s="82" t="s">
        <v>455</v>
      </c>
      <c r="G173" s="82" t="s">
        <v>467</v>
      </c>
      <c r="H173" s="82" t="s">
        <v>3</v>
      </c>
      <c r="I173" s="131">
        <v>100</v>
      </c>
      <c r="J173" s="132" t="s">
        <v>1044</v>
      </c>
      <c r="K173" s="55" t="s">
        <v>41</v>
      </c>
      <c r="L173" s="214"/>
      <c r="M173" s="146" t="s">
        <v>333</v>
      </c>
      <c r="N173" s="214"/>
      <c r="O173" s="172">
        <v>472000</v>
      </c>
      <c r="P173" s="172">
        <v>472000</v>
      </c>
      <c r="Q173" s="172"/>
      <c r="R173" s="172"/>
      <c r="S173" s="172"/>
      <c r="T173" s="172"/>
      <c r="U173" s="217"/>
      <c r="V173" s="172">
        <v>944000</v>
      </c>
      <c r="W173" s="172">
        <f t="shared" si="16"/>
        <v>1057280</v>
      </c>
      <c r="X173" s="214"/>
      <c r="Y173" s="135">
        <v>2013</v>
      </c>
      <c r="Z173" s="232"/>
      <c r="AD173" s="233"/>
      <c r="AE173" s="233"/>
      <c r="AF173" s="233"/>
      <c r="AG173" s="233"/>
    </row>
    <row r="174" spans="2:33" s="213" customFormat="1" ht="48" customHeight="1" x14ac:dyDescent="0.25">
      <c r="B174" s="82" t="s">
        <v>808</v>
      </c>
      <c r="C174" s="82" t="s">
        <v>2</v>
      </c>
      <c r="D174" s="82" t="s">
        <v>454</v>
      </c>
      <c r="E174" s="82" t="s">
        <v>455</v>
      </c>
      <c r="F174" s="82" t="s">
        <v>455</v>
      </c>
      <c r="G174" s="82" t="s">
        <v>468</v>
      </c>
      <c r="H174" s="82" t="s">
        <v>3</v>
      </c>
      <c r="I174" s="131">
        <v>100</v>
      </c>
      <c r="J174" s="132" t="s">
        <v>1044</v>
      </c>
      <c r="K174" s="132" t="s">
        <v>469</v>
      </c>
      <c r="L174" s="214"/>
      <c r="M174" s="146" t="s">
        <v>333</v>
      </c>
      <c r="N174" s="214"/>
      <c r="O174" s="172">
        <v>2415000</v>
      </c>
      <c r="P174" s="172">
        <v>2415000</v>
      </c>
      <c r="Q174" s="172"/>
      <c r="R174" s="172"/>
      <c r="S174" s="172"/>
      <c r="T174" s="172"/>
      <c r="U174" s="217"/>
      <c r="V174" s="172">
        <v>4830000</v>
      </c>
      <c r="W174" s="172">
        <f t="shared" si="16"/>
        <v>5409600.0000000009</v>
      </c>
      <c r="X174" s="214"/>
      <c r="Y174" s="135">
        <v>2013</v>
      </c>
      <c r="Z174" s="232"/>
      <c r="AD174" s="233"/>
      <c r="AE174" s="233"/>
      <c r="AF174" s="233"/>
      <c r="AG174" s="233"/>
    </row>
    <row r="175" spans="2:33" s="213" customFormat="1" ht="48" customHeight="1" x14ac:dyDescent="0.25">
      <c r="B175" s="82" t="s">
        <v>809</v>
      </c>
      <c r="C175" s="82" t="s">
        <v>2</v>
      </c>
      <c r="D175" s="82" t="s">
        <v>454</v>
      </c>
      <c r="E175" s="82" t="s">
        <v>455</v>
      </c>
      <c r="F175" s="82" t="s">
        <v>455</v>
      </c>
      <c r="G175" s="82" t="s">
        <v>470</v>
      </c>
      <c r="H175" s="82" t="s">
        <v>3</v>
      </c>
      <c r="I175" s="131">
        <v>100</v>
      </c>
      <c r="J175" s="132" t="s">
        <v>1044</v>
      </c>
      <c r="K175" s="132" t="s">
        <v>469</v>
      </c>
      <c r="L175" s="214"/>
      <c r="M175" s="146" t="s">
        <v>333</v>
      </c>
      <c r="N175" s="214"/>
      <c r="O175" s="172">
        <v>768500</v>
      </c>
      <c r="P175" s="172">
        <v>768500</v>
      </c>
      <c r="Q175" s="172"/>
      <c r="R175" s="172"/>
      <c r="S175" s="172"/>
      <c r="T175" s="172"/>
      <c r="U175" s="217"/>
      <c r="V175" s="172">
        <v>1537000</v>
      </c>
      <c r="W175" s="172">
        <f t="shared" si="16"/>
        <v>1721440.0000000002</v>
      </c>
      <c r="X175" s="214"/>
      <c r="Y175" s="135">
        <v>2013</v>
      </c>
      <c r="Z175" s="232"/>
      <c r="AD175" s="233"/>
      <c r="AE175" s="233"/>
      <c r="AF175" s="233"/>
      <c r="AG175" s="233"/>
    </row>
    <row r="176" spans="2:33" s="213" customFormat="1" ht="48" customHeight="1" x14ac:dyDescent="0.25">
      <c r="B176" s="82" t="s">
        <v>810</v>
      </c>
      <c r="C176" s="82" t="s">
        <v>2</v>
      </c>
      <c r="D176" s="82" t="s">
        <v>454</v>
      </c>
      <c r="E176" s="82" t="s">
        <v>455</v>
      </c>
      <c r="F176" s="82" t="s">
        <v>455</v>
      </c>
      <c r="G176" s="82" t="s">
        <v>471</v>
      </c>
      <c r="H176" s="82" t="s">
        <v>3</v>
      </c>
      <c r="I176" s="131">
        <v>100</v>
      </c>
      <c r="J176" s="132" t="s">
        <v>1044</v>
      </c>
      <c r="K176" s="132" t="s">
        <v>469</v>
      </c>
      <c r="L176" s="214"/>
      <c r="M176" s="146" t="s">
        <v>333</v>
      </c>
      <c r="N176" s="214"/>
      <c r="O176" s="172">
        <v>1061720</v>
      </c>
      <c r="P176" s="172">
        <v>1061720</v>
      </c>
      <c r="Q176" s="172"/>
      <c r="R176" s="172"/>
      <c r="S176" s="172"/>
      <c r="T176" s="172"/>
      <c r="U176" s="217"/>
      <c r="V176" s="172">
        <v>2123440</v>
      </c>
      <c r="W176" s="172">
        <f t="shared" si="16"/>
        <v>2378252.8000000003</v>
      </c>
      <c r="X176" s="214"/>
      <c r="Y176" s="135">
        <v>2013</v>
      </c>
      <c r="Z176" s="232"/>
      <c r="AD176" s="233"/>
      <c r="AE176" s="233"/>
      <c r="AF176" s="233"/>
      <c r="AG176" s="233"/>
    </row>
    <row r="177" spans="2:33" s="213" customFormat="1" ht="48" customHeight="1" x14ac:dyDescent="0.25">
      <c r="B177" s="82" t="s">
        <v>811</v>
      </c>
      <c r="C177" s="82" t="s">
        <v>2</v>
      </c>
      <c r="D177" s="82" t="s">
        <v>454</v>
      </c>
      <c r="E177" s="82" t="s">
        <v>455</v>
      </c>
      <c r="F177" s="82" t="s">
        <v>455</v>
      </c>
      <c r="G177" s="82" t="s">
        <v>472</v>
      </c>
      <c r="H177" s="82" t="s">
        <v>3</v>
      </c>
      <c r="I177" s="131">
        <v>100</v>
      </c>
      <c r="J177" s="132" t="s">
        <v>1044</v>
      </c>
      <c r="K177" s="132" t="s">
        <v>469</v>
      </c>
      <c r="L177" s="214"/>
      <c r="M177" s="146" t="s">
        <v>333</v>
      </c>
      <c r="N177" s="214"/>
      <c r="O177" s="172">
        <v>400000</v>
      </c>
      <c r="P177" s="172">
        <v>400000</v>
      </c>
      <c r="Q177" s="172"/>
      <c r="R177" s="172"/>
      <c r="S177" s="172"/>
      <c r="T177" s="172"/>
      <c r="U177" s="217"/>
      <c r="V177" s="172">
        <v>800000</v>
      </c>
      <c r="W177" s="172">
        <f t="shared" si="16"/>
        <v>896000.00000000012</v>
      </c>
      <c r="X177" s="214"/>
      <c r="Y177" s="135">
        <v>2013</v>
      </c>
      <c r="Z177" s="232"/>
      <c r="AD177" s="233"/>
      <c r="AE177" s="233"/>
      <c r="AF177" s="233"/>
      <c r="AG177" s="233"/>
    </row>
    <row r="178" spans="2:33" s="213" customFormat="1" ht="48" customHeight="1" x14ac:dyDescent="0.25">
      <c r="B178" s="82" t="s">
        <v>812</v>
      </c>
      <c r="C178" s="82" t="s">
        <v>2</v>
      </c>
      <c r="D178" s="82" t="s">
        <v>454</v>
      </c>
      <c r="E178" s="82" t="s">
        <v>455</v>
      </c>
      <c r="F178" s="82" t="s">
        <v>455</v>
      </c>
      <c r="G178" s="82" t="s">
        <v>473</v>
      </c>
      <c r="H178" s="82" t="s">
        <v>3</v>
      </c>
      <c r="I178" s="131">
        <v>0</v>
      </c>
      <c r="J178" s="132" t="s">
        <v>474</v>
      </c>
      <c r="K178" s="132" t="s">
        <v>475</v>
      </c>
      <c r="L178" s="214"/>
      <c r="M178" s="146" t="s">
        <v>333</v>
      </c>
      <c r="N178" s="214"/>
      <c r="O178" s="172">
        <v>21101500</v>
      </c>
      <c r="P178" s="172">
        <v>27118504</v>
      </c>
      <c r="Q178" s="172"/>
      <c r="R178" s="172"/>
      <c r="S178" s="172"/>
      <c r="T178" s="172"/>
      <c r="U178" s="217"/>
      <c r="V178" s="172">
        <v>42203000</v>
      </c>
      <c r="W178" s="172">
        <f t="shared" si="16"/>
        <v>47267360.000000007</v>
      </c>
      <c r="X178" s="214"/>
      <c r="Y178" s="135">
        <v>2013</v>
      </c>
      <c r="Z178" s="232"/>
      <c r="AD178" s="233"/>
      <c r="AE178" s="233"/>
      <c r="AF178" s="233"/>
      <c r="AG178" s="233"/>
    </row>
    <row r="179" spans="2:33" s="213" customFormat="1" ht="48" customHeight="1" x14ac:dyDescent="0.25">
      <c r="B179" s="82" t="s">
        <v>813</v>
      </c>
      <c r="C179" s="82" t="s">
        <v>2</v>
      </c>
      <c r="D179" s="82" t="s">
        <v>454</v>
      </c>
      <c r="E179" s="82" t="s">
        <v>455</v>
      </c>
      <c r="F179" s="82" t="s">
        <v>455</v>
      </c>
      <c r="G179" s="82" t="s">
        <v>476</v>
      </c>
      <c r="H179" s="82" t="s">
        <v>3</v>
      </c>
      <c r="I179" s="131">
        <v>0</v>
      </c>
      <c r="J179" s="132" t="s">
        <v>477</v>
      </c>
      <c r="K179" s="132" t="s">
        <v>478</v>
      </c>
      <c r="L179" s="214"/>
      <c r="M179" s="146" t="s">
        <v>333</v>
      </c>
      <c r="N179" s="214"/>
      <c r="O179" s="172">
        <v>2359000</v>
      </c>
      <c r="P179" s="172">
        <v>2359000</v>
      </c>
      <c r="Q179" s="172"/>
      <c r="R179" s="172"/>
      <c r="S179" s="172"/>
      <c r="T179" s="172"/>
      <c r="U179" s="217"/>
      <c r="V179" s="172">
        <v>4718000</v>
      </c>
      <c r="W179" s="172">
        <f t="shared" si="16"/>
        <v>5284160.0000000009</v>
      </c>
      <c r="X179" s="214"/>
      <c r="Y179" s="135">
        <v>2013</v>
      </c>
      <c r="Z179" s="232"/>
      <c r="AD179" s="233"/>
      <c r="AE179" s="233"/>
      <c r="AF179" s="233"/>
      <c r="AG179" s="233"/>
    </row>
    <row r="180" spans="2:33" s="213" customFormat="1" ht="48" customHeight="1" x14ac:dyDescent="0.25">
      <c r="B180" s="82" t="s">
        <v>814</v>
      </c>
      <c r="C180" s="82" t="s">
        <v>2</v>
      </c>
      <c r="D180" s="82" t="s">
        <v>454</v>
      </c>
      <c r="E180" s="82" t="s">
        <v>455</v>
      </c>
      <c r="F180" s="82" t="s">
        <v>455</v>
      </c>
      <c r="G180" s="82" t="s">
        <v>479</v>
      </c>
      <c r="H180" s="82" t="s">
        <v>3</v>
      </c>
      <c r="I180" s="131">
        <v>0</v>
      </c>
      <c r="J180" s="132" t="s">
        <v>477</v>
      </c>
      <c r="K180" s="132" t="s">
        <v>480</v>
      </c>
      <c r="L180" s="214"/>
      <c r="M180" s="146" t="s">
        <v>333</v>
      </c>
      <c r="N180" s="214"/>
      <c r="O180" s="172">
        <v>8847000</v>
      </c>
      <c r="P180" s="172">
        <v>29383000</v>
      </c>
      <c r="Q180" s="172">
        <v>14850000</v>
      </c>
      <c r="R180" s="172"/>
      <c r="S180" s="172"/>
      <c r="T180" s="172"/>
      <c r="U180" s="217"/>
      <c r="V180" s="172">
        <v>53080000</v>
      </c>
      <c r="W180" s="172">
        <f t="shared" si="16"/>
        <v>59449600.000000007</v>
      </c>
      <c r="X180" s="214"/>
      <c r="Y180" s="135">
        <v>2013</v>
      </c>
      <c r="Z180" s="232"/>
      <c r="AD180" s="233"/>
      <c r="AE180" s="233"/>
      <c r="AF180" s="233"/>
      <c r="AG180" s="233"/>
    </row>
    <row r="181" spans="2:33" s="213" customFormat="1" ht="48" customHeight="1" x14ac:dyDescent="0.25">
      <c r="B181" s="82" t="s">
        <v>815</v>
      </c>
      <c r="C181" s="82" t="s">
        <v>2</v>
      </c>
      <c r="D181" s="82" t="s">
        <v>481</v>
      </c>
      <c r="E181" s="82" t="s">
        <v>482</v>
      </c>
      <c r="F181" s="82" t="s">
        <v>483</v>
      </c>
      <c r="G181" s="82" t="s">
        <v>484</v>
      </c>
      <c r="H181" s="82" t="s">
        <v>95</v>
      </c>
      <c r="I181" s="131">
        <v>0</v>
      </c>
      <c r="J181" s="132" t="s">
        <v>1037</v>
      </c>
      <c r="K181" s="132" t="s">
        <v>485</v>
      </c>
      <c r="L181" s="214"/>
      <c r="M181" s="146" t="s">
        <v>486</v>
      </c>
      <c r="N181" s="214"/>
      <c r="O181" s="172">
        <v>7425000</v>
      </c>
      <c r="P181" s="172">
        <v>7425000</v>
      </c>
      <c r="Q181" s="172">
        <v>7425000</v>
      </c>
      <c r="R181" s="172"/>
      <c r="S181" s="172"/>
      <c r="T181" s="172"/>
      <c r="U181" s="217"/>
      <c r="V181" s="172">
        <f>O181+P181+Q181+R181+S181</f>
        <v>22275000</v>
      </c>
      <c r="W181" s="172">
        <f t="shared" si="16"/>
        <v>24948000.000000004</v>
      </c>
      <c r="X181" s="214"/>
      <c r="Y181" s="135">
        <v>2013</v>
      </c>
      <c r="Z181" s="232"/>
      <c r="AD181" s="233"/>
      <c r="AE181" s="233"/>
      <c r="AF181" s="233"/>
      <c r="AG181" s="233"/>
    </row>
    <row r="182" spans="2:33" s="213" customFormat="1" ht="48" customHeight="1" x14ac:dyDescent="0.25">
      <c r="B182" s="82" t="s">
        <v>816</v>
      </c>
      <c r="C182" s="82" t="s">
        <v>2</v>
      </c>
      <c r="D182" s="82" t="s">
        <v>481</v>
      </c>
      <c r="E182" s="82" t="s">
        <v>482</v>
      </c>
      <c r="F182" s="82" t="s">
        <v>483</v>
      </c>
      <c r="G182" s="82" t="s">
        <v>487</v>
      </c>
      <c r="H182" s="82" t="s">
        <v>95</v>
      </c>
      <c r="I182" s="131">
        <v>0</v>
      </c>
      <c r="J182" s="132" t="s">
        <v>1026</v>
      </c>
      <c r="K182" s="132" t="s">
        <v>488</v>
      </c>
      <c r="L182" s="214"/>
      <c r="M182" s="146" t="s">
        <v>486</v>
      </c>
      <c r="N182" s="214"/>
      <c r="O182" s="172">
        <v>7147000</v>
      </c>
      <c r="P182" s="172">
        <v>28590000</v>
      </c>
      <c r="Q182" s="172"/>
      <c r="R182" s="172"/>
      <c r="S182" s="172"/>
      <c r="T182" s="172"/>
      <c r="U182" s="217"/>
      <c r="V182" s="172">
        <f>O182+P182+Q182+R182+S182</f>
        <v>35737000</v>
      </c>
      <c r="W182" s="172">
        <f t="shared" si="16"/>
        <v>40025440.000000007</v>
      </c>
      <c r="X182" s="214"/>
      <c r="Y182" s="135">
        <v>2013</v>
      </c>
      <c r="Z182" s="232"/>
      <c r="AD182" s="233"/>
      <c r="AE182" s="233"/>
      <c r="AF182" s="233"/>
      <c r="AG182" s="233"/>
    </row>
    <row r="183" spans="2:33" s="213" customFormat="1" ht="48" customHeight="1" x14ac:dyDescent="0.25">
      <c r="B183" s="82" t="s">
        <v>817</v>
      </c>
      <c r="C183" s="82" t="s">
        <v>2</v>
      </c>
      <c r="D183" s="82" t="s">
        <v>489</v>
      </c>
      <c r="E183" s="82" t="s">
        <v>482</v>
      </c>
      <c r="F183" s="82" t="s">
        <v>483</v>
      </c>
      <c r="G183" s="82" t="s">
        <v>490</v>
      </c>
      <c r="H183" s="82" t="s">
        <v>95</v>
      </c>
      <c r="I183" s="131">
        <v>0</v>
      </c>
      <c r="J183" s="132" t="s">
        <v>1033</v>
      </c>
      <c r="K183" s="132" t="s">
        <v>315</v>
      </c>
      <c r="L183" s="214"/>
      <c r="M183" s="146" t="s">
        <v>486</v>
      </c>
      <c r="N183" s="214"/>
      <c r="O183" s="172">
        <v>1657160</v>
      </c>
      <c r="P183" s="172">
        <v>19886040</v>
      </c>
      <c r="Q183" s="172"/>
      <c r="R183" s="172"/>
      <c r="S183" s="172"/>
      <c r="T183" s="172"/>
      <c r="U183" s="217"/>
      <c r="V183" s="172">
        <f>O183+P183+Q183+R183+S183</f>
        <v>21543200</v>
      </c>
      <c r="W183" s="172">
        <f t="shared" si="16"/>
        <v>24128384.000000004</v>
      </c>
      <c r="X183" s="214"/>
      <c r="Y183" s="135">
        <v>2013</v>
      </c>
      <c r="Z183" s="232"/>
      <c r="AD183" s="233"/>
      <c r="AE183" s="233"/>
      <c r="AF183" s="233"/>
      <c r="AG183" s="233"/>
    </row>
    <row r="184" spans="2:33" s="213" customFormat="1" ht="48" customHeight="1" x14ac:dyDescent="0.25">
      <c r="B184" s="82" t="s">
        <v>818</v>
      </c>
      <c r="C184" s="82" t="s">
        <v>2</v>
      </c>
      <c r="D184" s="82" t="s">
        <v>491</v>
      </c>
      <c r="E184" s="82" t="s">
        <v>492</v>
      </c>
      <c r="F184" s="82" t="s">
        <v>492</v>
      </c>
      <c r="G184" s="82" t="s">
        <v>493</v>
      </c>
      <c r="H184" s="82" t="s">
        <v>3</v>
      </c>
      <c r="I184" s="131">
        <v>0</v>
      </c>
      <c r="J184" s="132" t="s">
        <v>1044</v>
      </c>
      <c r="K184" s="132" t="s">
        <v>380</v>
      </c>
      <c r="L184" s="214"/>
      <c r="M184" s="146" t="s">
        <v>494</v>
      </c>
      <c r="N184" s="217"/>
      <c r="O184" s="172">
        <v>6840000</v>
      </c>
      <c r="P184" s="172">
        <v>13680000</v>
      </c>
      <c r="Q184" s="172">
        <v>15960000</v>
      </c>
      <c r="R184" s="172">
        <v>9120000</v>
      </c>
      <c r="S184" s="172"/>
      <c r="T184" s="172"/>
      <c r="U184" s="217"/>
      <c r="V184" s="172">
        <f>O184+P184+Q184+R184</f>
        <v>45600000</v>
      </c>
      <c r="W184" s="172">
        <f t="shared" si="16"/>
        <v>51072000.000000007</v>
      </c>
      <c r="X184" s="214"/>
      <c r="Y184" s="135">
        <v>2013</v>
      </c>
      <c r="Z184" s="232"/>
      <c r="AD184" s="233"/>
      <c r="AE184" s="233"/>
      <c r="AF184" s="233"/>
      <c r="AG184" s="233"/>
    </row>
    <row r="185" spans="2:33" s="213" customFormat="1" ht="48" customHeight="1" x14ac:dyDescent="0.25">
      <c r="B185" s="82" t="s">
        <v>819</v>
      </c>
      <c r="C185" s="82" t="s">
        <v>2</v>
      </c>
      <c r="D185" s="82" t="s">
        <v>454</v>
      </c>
      <c r="E185" s="82" t="s">
        <v>455</v>
      </c>
      <c r="F185" s="82" t="s">
        <v>455</v>
      </c>
      <c r="G185" s="82" t="s">
        <v>495</v>
      </c>
      <c r="H185" s="82" t="s">
        <v>95</v>
      </c>
      <c r="I185" s="131">
        <v>0</v>
      </c>
      <c r="J185" s="132" t="s">
        <v>1028</v>
      </c>
      <c r="K185" s="132" t="s">
        <v>496</v>
      </c>
      <c r="L185" s="214"/>
      <c r="M185" s="146" t="s">
        <v>497</v>
      </c>
      <c r="N185" s="217"/>
      <c r="O185" s="172">
        <v>8255300</v>
      </c>
      <c r="P185" s="172">
        <v>16607200</v>
      </c>
      <c r="Q185" s="172"/>
      <c r="R185" s="172"/>
      <c r="S185" s="172"/>
      <c r="T185" s="172"/>
      <c r="U185" s="217"/>
      <c r="V185" s="172">
        <v>24862500</v>
      </c>
      <c r="W185" s="172">
        <f t="shared" si="16"/>
        <v>27846000.000000004</v>
      </c>
      <c r="X185" s="214"/>
      <c r="Y185" s="135">
        <v>2013</v>
      </c>
      <c r="Z185" s="232"/>
      <c r="AD185" s="233"/>
      <c r="AE185" s="233"/>
      <c r="AF185" s="233"/>
      <c r="AG185" s="233"/>
    </row>
    <row r="186" spans="2:33" s="213" customFormat="1" ht="48" customHeight="1" x14ac:dyDescent="0.25">
      <c r="B186" s="82" t="s">
        <v>820</v>
      </c>
      <c r="C186" s="82" t="s">
        <v>2</v>
      </c>
      <c r="D186" s="109" t="s">
        <v>498</v>
      </c>
      <c r="E186" s="109" t="s">
        <v>499</v>
      </c>
      <c r="F186" s="109" t="s">
        <v>500</v>
      </c>
      <c r="G186" s="109" t="s">
        <v>501</v>
      </c>
      <c r="H186" s="109" t="s">
        <v>95</v>
      </c>
      <c r="I186" s="131">
        <v>0</v>
      </c>
      <c r="J186" s="132" t="s">
        <v>502</v>
      </c>
      <c r="K186" s="132" t="s">
        <v>503</v>
      </c>
      <c r="L186" s="214"/>
      <c r="M186" s="146" t="s">
        <v>497</v>
      </c>
      <c r="N186" s="217"/>
      <c r="O186" s="172">
        <v>15400000</v>
      </c>
      <c r="P186" s="172">
        <v>25000000</v>
      </c>
      <c r="Q186" s="172">
        <v>625000</v>
      </c>
      <c r="R186" s="172"/>
      <c r="S186" s="172"/>
      <c r="T186" s="172"/>
      <c r="U186" s="217"/>
      <c r="V186" s="172">
        <f>SUM(O186:S186)</f>
        <v>41025000</v>
      </c>
      <c r="W186" s="172">
        <f t="shared" si="16"/>
        <v>45948000.000000007</v>
      </c>
      <c r="X186" s="214"/>
      <c r="Y186" s="135">
        <v>2013</v>
      </c>
      <c r="Z186" s="232"/>
      <c r="AD186" s="233"/>
      <c r="AE186" s="233"/>
      <c r="AF186" s="233"/>
      <c r="AG186" s="233"/>
    </row>
    <row r="187" spans="2:33" s="213" customFormat="1" ht="48" customHeight="1" x14ac:dyDescent="0.25">
      <c r="B187" s="82" t="s">
        <v>821</v>
      </c>
      <c r="C187" s="82" t="s">
        <v>2</v>
      </c>
      <c r="D187" s="82" t="s">
        <v>975</v>
      </c>
      <c r="E187" s="82" t="s">
        <v>976</v>
      </c>
      <c r="F187" s="82" t="s">
        <v>976</v>
      </c>
      <c r="G187" s="82" t="s">
        <v>504</v>
      </c>
      <c r="H187" s="82" t="s">
        <v>3</v>
      </c>
      <c r="I187" s="131">
        <v>0</v>
      </c>
      <c r="J187" s="132" t="s">
        <v>505</v>
      </c>
      <c r="K187" s="132" t="s">
        <v>375</v>
      </c>
      <c r="L187" s="214"/>
      <c r="M187" s="146" t="s">
        <v>506</v>
      </c>
      <c r="N187" s="217"/>
      <c r="O187" s="172">
        <v>742500000</v>
      </c>
      <c r="P187" s="172">
        <v>742500000</v>
      </c>
      <c r="Q187" s="172"/>
      <c r="R187" s="172"/>
      <c r="S187" s="172"/>
      <c r="T187" s="172"/>
      <c r="U187" s="217"/>
      <c r="V187" s="172">
        <v>1485000000</v>
      </c>
      <c r="W187" s="172">
        <f t="shared" si="16"/>
        <v>1663200000.0000002</v>
      </c>
      <c r="X187" s="214"/>
      <c r="Y187" s="135">
        <v>2013</v>
      </c>
      <c r="Z187" s="232"/>
      <c r="AD187" s="233"/>
      <c r="AE187" s="233"/>
      <c r="AF187" s="233"/>
      <c r="AG187" s="233"/>
    </row>
    <row r="188" spans="2:33" s="213" customFormat="1" ht="48" customHeight="1" x14ac:dyDescent="0.25">
      <c r="B188" s="82" t="s">
        <v>822</v>
      </c>
      <c r="C188" s="82" t="s">
        <v>2</v>
      </c>
      <c r="D188" s="82" t="s">
        <v>977</v>
      </c>
      <c r="E188" s="82" t="s">
        <v>978</v>
      </c>
      <c r="F188" s="82" t="s">
        <v>978</v>
      </c>
      <c r="G188" s="130" t="s">
        <v>507</v>
      </c>
      <c r="H188" s="130" t="s">
        <v>95</v>
      </c>
      <c r="I188" s="131">
        <v>100</v>
      </c>
      <c r="J188" s="132" t="s">
        <v>1026</v>
      </c>
      <c r="K188" s="132" t="s">
        <v>235</v>
      </c>
      <c r="L188" s="214"/>
      <c r="M188" s="146" t="s">
        <v>90</v>
      </c>
      <c r="N188" s="217"/>
      <c r="O188" s="172">
        <v>160000</v>
      </c>
      <c r="P188" s="172">
        <v>160000</v>
      </c>
      <c r="Q188" s="172">
        <v>160000</v>
      </c>
      <c r="R188" s="172">
        <v>160000</v>
      </c>
      <c r="S188" s="172">
        <v>160000</v>
      </c>
      <c r="T188" s="172"/>
      <c r="U188" s="217"/>
      <c r="V188" s="172">
        <v>800000</v>
      </c>
      <c r="W188" s="172">
        <f t="shared" ref="W188:W251" si="19">V188*1.12</f>
        <v>896000.00000000012</v>
      </c>
      <c r="X188" s="214"/>
      <c r="Y188" s="135">
        <v>2012</v>
      </c>
      <c r="Z188" s="232"/>
      <c r="AD188" s="233"/>
      <c r="AE188" s="233"/>
      <c r="AF188" s="233"/>
      <c r="AG188" s="233"/>
    </row>
    <row r="189" spans="2:33" s="213" customFormat="1" ht="48" customHeight="1" x14ac:dyDescent="0.25">
      <c r="B189" s="82" t="s">
        <v>823</v>
      </c>
      <c r="C189" s="82" t="s">
        <v>2</v>
      </c>
      <c r="D189" s="82" t="s">
        <v>935</v>
      </c>
      <c r="E189" s="82" t="s">
        <v>413</v>
      </c>
      <c r="F189" s="82" t="s">
        <v>413</v>
      </c>
      <c r="G189" s="82" t="s">
        <v>441</v>
      </c>
      <c r="H189" s="82" t="s">
        <v>95</v>
      </c>
      <c r="I189" s="131">
        <v>0</v>
      </c>
      <c r="J189" s="132" t="s">
        <v>1045</v>
      </c>
      <c r="K189" s="132" t="s">
        <v>511</v>
      </c>
      <c r="L189" s="214"/>
      <c r="M189" s="146" t="s">
        <v>486</v>
      </c>
      <c r="N189" s="214"/>
      <c r="O189" s="172">
        <v>3840000</v>
      </c>
      <c r="P189" s="172">
        <v>7680000</v>
      </c>
      <c r="Q189" s="172">
        <v>7680000</v>
      </c>
      <c r="R189" s="172">
        <v>7680000</v>
      </c>
      <c r="S189" s="172">
        <v>7680000</v>
      </c>
      <c r="T189" s="172"/>
      <c r="U189" s="217"/>
      <c r="V189" s="172">
        <v>38400000</v>
      </c>
      <c r="W189" s="172">
        <f t="shared" si="19"/>
        <v>43008000.000000007</v>
      </c>
      <c r="X189" s="214"/>
      <c r="Y189" s="135">
        <v>2013</v>
      </c>
      <c r="Z189" s="232"/>
      <c r="AD189" s="233"/>
      <c r="AE189" s="233"/>
      <c r="AF189" s="233"/>
      <c r="AG189" s="233"/>
    </row>
    <row r="190" spans="2:33" s="213" customFormat="1" ht="48" customHeight="1" x14ac:dyDescent="0.25">
      <c r="B190" s="82" t="s">
        <v>824</v>
      </c>
      <c r="C190" s="82" t="s">
        <v>2</v>
      </c>
      <c r="D190" s="82" t="s">
        <v>512</v>
      </c>
      <c r="E190" s="82" t="s">
        <v>513</v>
      </c>
      <c r="F190" s="82" t="s">
        <v>514</v>
      </c>
      <c r="G190" s="82" t="s">
        <v>515</v>
      </c>
      <c r="H190" s="82" t="s">
        <v>95</v>
      </c>
      <c r="I190" s="131">
        <v>0</v>
      </c>
      <c r="J190" s="132" t="s">
        <v>1046</v>
      </c>
      <c r="K190" s="132" t="s">
        <v>516</v>
      </c>
      <c r="L190" s="214"/>
      <c r="M190" s="146" t="s">
        <v>486</v>
      </c>
      <c r="N190" s="214"/>
      <c r="O190" s="172">
        <f>2383360*7</f>
        <v>16683520</v>
      </c>
      <c r="P190" s="172">
        <f>2383360*12</f>
        <v>28600320</v>
      </c>
      <c r="Q190" s="172">
        <f>2383360*12</f>
        <v>28600320</v>
      </c>
      <c r="R190" s="172">
        <f>2383360*12</f>
        <v>28600320</v>
      </c>
      <c r="S190" s="172">
        <f>2383360*12</f>
        <v>28600320</v>
      </c>
      <c r="T190" s="172"/>
      <c r="U190" s="217"/>
      <c r="V190" s="172">
        <v>143001600</v>
      </c>
      <c r="W190" s="172">
        <f t="shared" si="19"/>
        <v>160161792.00000003</v>
      </c>
      <c r="X190" s="214"/>
      <c r="Y190" s="135">
        <v>2013</v>
      </c>
      <c r="Z190" s="232"/>
      <c r="AD190" s="233"/>
      <c r="AE190" s="233"/>
      <c r="AF190" s="233"/>
      <c r="AG190" s="233"/>
    </row>
    <row r="191" spans="2:33" s="213" customFormat="1" ht="48" customHeight="1" x14ac:dyDescent="0.25">
      <c r="B191" s="82" t="s">
        <v>825</v>
      </c>
      <c r="C191" s="82" t="s">
        <v>2</v>
      </c>
      <c r="D191" s="82" t="s">
        <v>512</v>
      </c>
      <c r="E191" s="82" t="s">
        <v>513</v>
      </c>
      <c r="F191" s="82" t="s">
        <v>514</v>
      </c>
      <c r="G191" s="82" t="s">
        <v>517</v>
      </c>
      <c r="H191" s="82" t="s">
        <v>95</v>
      </c>
      <c r="I191" s="131">
        <v>0</v>
      </c>
      <c r="J191" s="132" t="s">
        <v>1047</v>
      </c>
      <c r="K191" s="132" t="s">
        <v>518</v>
      </c>
      <c r="L191" s="214"/>
      <c r="M191" s="146" t="s">
        <v>486</v>
      </c>
      <c r="N191" s="214"/>
      <c r="O191" s="172">
        <v>287560</v>
      </c>
      <c r="P191" s="172">
        <v>862680</v>
      </c>
      <c r="Q191" s="172">
        <v>862680</v>
      </c>
      <c r="R191" s="172">
        <v>862680</v>
      </c>
      <c r="S191" s="172">
        <v>862680</v>
      </c>
      <c r="T191" s="172"/>
      <c r="U191" s="217"/>
      <c r="V191" s="172">
        <v>4313400</v>
      </c>
      <c r="W191" s="172">
        <f t="shared" si="19"/>
        <v>4831008</v>
      </c>
      <c r="X191" s="214"/>
      <c r="Y191" s="135">
        <v>2013</v>
      </c>
      <c r="Z191" s="232"/>
      <c r="AD191" s="233"/>
      <c r="AE191" s="233"/>
      <c r="AF191" s="233"/>
      <c r="AG191" s="233"/>
    </row>
    <row r="192" spans="2:33" s="213" customFormat="1" ht="48" customHeight="1" x14ac:dyDescent="0.25">
      <c r="B192" s="82" t="s">
        <v>826</v>
      </c>
      <c r="C192" s="82" t="s">
        <v>2</v>
      </c>
      <c r="D192" s="82" t="s">
        <v>508</v>
      </c>
      <c r="E192" s="82" t="s">
        <v>509</v>
      </c>
      <c r="F192" s="82" t="s">
        <v>510</v>
      </c>
      <c r="G192" s="82" t="s">
        <v>519</v>
      </c>
      <c r="H192" s="82" t="s">
        <v>95</v>
      </c>
      <c r="I192" s="131">
        <v>0</v>
      </c>
      <c r="J192" s="132" t="s">
        <v>1028</v>
      </c>
      <c r="K192" s="55" t="s">
        <v>41</v>
      </c>
      <c r="L192" s="214"/>
      <c r="M192" s="146" t="s">
        <v>486</v>
      </c>
      <c r="N192" s="214"/>
      <c r="O192" s="172">
        <f>8370*155</f>
        <v>1297350</v>
      </c>
      <c r="P192" s="172">
        <f>33480*155</f>
        <v>5189400</v>
      </c>
      <c r="Q192" s="172">
        <v>5189400</v>
      </c>
      <c r="R192" s="172">
        <v>5189400</v>
      </c>
      <c r="S192" s="172">
        <v>5189400</v>
      </c>
      <c r="T192" s="172"/>
      <c r="U192" s="217"/>
      <c r="V192" s="172">
        <f>234360*155</f>
        <v>36325800</v>
      </c>
      <c r="W192" s="172">
        <f t="shared" si="19"/>
        <v>40684896.000000007</v>
      </c>
      <c r="X192" s="214"/>
      <c r="Y192" s="135">
        <v>2013</v>
      </c>
      <c r="Z192" s="232"/>
      <c r="AD192" s="233"/>
      <c r="AE192" s="233"/>
      <c r="AF192" s="233"/>
      <c r="AG192" s="233"/>
    </row>
    <row r="193" spans="2:33" s="213" customFormat="1" ht="48" customHeight="1" x14ac:dyDescent="0.25">
      <c r="B193" s="82" t="s">
        <v>827</v>
      </c>
      <c r="C193" s="82" t="s">
        <v>2</v>
      </c>
      <c r="D193" s="82" t="s">
        <v>508</v>
      </c>
      <c r="E193" s="82" t="s">
        <v>509</v>
      </c>
      <c r="F193" s="82" t="s">
        <v>510</v>
      </c>
      <c r="G193" s="82" t="s">
        <v>520</v>
      </c>
      <c r="H193" s="82" t="s">
        <v>95</v>
      </c>
      <c r="I193" s="131">
        <v>0</v>
      </c>
      <c r="J193" s="132" t="s">
        <v>1028</v>
      </c>
      <c r="K193" s="55" t="s">
        <v>41</v>
      </c>
      <c r="L193" s="214"/>
      <c r="M193" s="146" t="s">
        <v>486</v>
      </c>
      <c r="N193" s="214"/>
      <c r="O193" s="172">
        <f>3483*155</f>
        <v>539865</v>
      </c>
      <c r="P193" s="172">
        <f>13932*155</f>
        <v>2159460</v>
      </c>
      <c r="Q193" s="172">
        <v>2159460</v>
      </c>
      <c r="R193" s="172">
        <v>2159460</v>
      </c>
      <c r="S193" s="172">
        <v>2159460</v>
      </c>
      <c r="T193" s="172"/>
      <c r="U193" s="217"/>
      <c r="V193" s="172">
        <f>97524*155</f>
        <v>15116220</v>
      </c>
      <c r="W193" s="172">
        <f t="shared" si="19"/>
        <v>16930166.400000002</v>
      </c>
      <c r="X193" s="214"/>
      <c r="Y193" s="135">
        <v>2013</v>
      </c>
      <c r="Z193" s="232"/>
      <c r="AD193" s="233"/>
      <c r="AE193" s="233"/>
      <c r="AF193" s="233"/>
      <c r="AG193" s="233"/>
    </row>
    <row r="194" spans="2:33" s="213" customFormat="1" ht="48" customHeight="1" x14ac:dyDescent="0.25">
      <c r="B194" s="82" t="s">
        <v>828</v>
      </c>
      <c r="C194" s="82" t="s">
        <v>2</v>
      </c>
      <c r="D194" s="82" t="s">
        <v>508</v>
      </c>
      <c r="E194" s="82" t="s">
        <v>509</v>
      </c>
      <c r="F194" s="82" t="s">
        <v>510</v>
      </c>
      <c r="G194" s="82" t="s">
        <v>521</v>
      </c>
      <c r="H194" s="82" t="s">
        <v>95</v>
      </c>
      <c r="I194" s="131">
        <v>0</v>
      </c>
      <c r="J194" s="132" t="s">
        <v>1028</v>
      </c>
      <c r="K194" s="55" t="s">
        <v>41</v>
      </c>
      <c r="L194" s="214"/>
      <c r="M194" s="146" t="s">
        <v>486</v>
      </c>
      <c r="N194" s="214"/>
      <c r="O194" s="172">
        <f>8100*155</f>
        <v>1255500</v>
      </c>
      <c r="P194" s="172">
        <f>32400*155</f>
        <v>5022000</v>
      </c>
      <c r="Q194" s="172">
        <v>5022000</v>
      </c>
      <c r="R194" s="172">
        <v>5022000</v>
      </c>
      <c r="S194" s="172">
        <v>5022000</v>
      </c>
      <c r="T194" s="172"/>
      <c r="U194" s="217"/>
      <c r="V194" s="172">
        <f>226800*155</f>
        <v>35154000</v>
      </c>
      <c r="W194" s="172">
        <f t="shared" si="19"/>
        <v>39372480.000000007</v>
      </c>
      <c r="X194" s="214"/>
      <c r="Y194" s="135">
        <v>2013</v>
      </c>
      <c r="Z194" s="232"/>
      <c r="AD194" s="233"/>
      <c r="AE194" s="233"/>
      <c r="AF194" s="233"/>
      <c r="AG194" s="233"/>
    </row>
    <row r="195" spans="2:33" s="213" customFormat="1" ht="48" customHeight="1" x14ac:dyDescent="0.25">
      <c r="B195" s="82" t="s">
        <v>829</v>
      </c>
      <c r="C195" s="82" t="s">
        <v>2</v>
      </c>
      <c r="D195" s="82" t="s">
        <v>508</v>
      </c>
      <c r="E195" s="82" t="s">
        <v>509</v>
      </c>
      <c r="F195" s="82" t="s">
        <v>510</v>
      </c>
      <c r="G195" s="82" t="s">
        <v>522</v>
      </c>
      <c r="H195" s="82" t="s">
        <v>95</v>
      </c>
      <c r="I195" s="131">
        <v>0</v>
      </c>
      <c r="J195" s="132" t="s">
        <v>1028</v>
      </c>
      <c r="K195" s="55" t="s">
        <v>41</v>
      </c>
      <c r="L195" s="214"/>
      <c r="M195" s="146" t="s">
        <v>486</v>
      </c>
      <c r="N195" s="214"/>
      <c r="O195" s="172">
        <f>25200*155</f>
        <v>3906000</v>
      </c>
      <c r="P195" s="172">
        <f>100800*155</f>
        <v>15624000</v>
      </c>
      <c r="Q195" s="172">
        <v>15624000</v>
      </c>
      <c r="R195" s="172">
        <v>15624000</v>
      </c>
      <c r="S195" s="172">
        <v>15624000</v>
      </c>
      <c r="T195" s="172"/>
      <c r="U195" s="217"/>
      <c r="V195" s="172">
        <f>705600*155</f>
        <v>109368000</v>
      </c>
      <c r="W195" s="172">
        <f t="shared" si="19"/>
        <v>122492160.00000001</v>
      </c>
      <c r="X195" s="214"/>
      <c r="Y195" s="135">
        <v>2013</v>
      </c>
      <c r="Z195" s="232"/>
      <c r="AD195" s="233"/>
      <c r="AE195" s="233"/>
      <c r="AF195" s="233"/>
      <c r="AG195" s="233"/>
    </row>
    <row r="196" spans="2:33" s="213" customFormat="1" ht="48" customHeight="1" x14ac:dyDescent="0.25">
      <c r="B196" s="82" t="s">
        <v>830</v>
      </c>
      <c r="C196" s="82" t="s">
        <v>2</v>
      </c>
      <c r="D196" s="82" t="s">
        <v>508</v>
      </c>
      <c r="E196" s="82" t="s">
        <v>509</v>
      </c>
      <c r="F196" s="82" t="s">
        <v>510</v>
      </c>
      <c r="G196" s="82" t="s">
        <v>523</v>
      </c>
      <c r="H196" s="82" t="s">
        <v>95</v>
      </c>
      <c r="I196" s="131">
        <v>0</v>
      </c>
      <c r="J196" s="132" t="s">
        <v>1028</v>
      </c>
      <c r="K196" s="55" t="s">
        <v>41</v>
      </c>
      <c r="L196" s="214"/>
      <c r="M196" s="146" t="s">
        <v>486</v>
      </c>
      <c r="N196" s="214"/>
      <c r="O196" s="172">
        <f>3720*155</f>
        <v>576600</v>
      </c>
      <c r="P196" s="172">
        <f>14880*155</f>
        <v>2306400</v>
      </c>
      <c r="Q196" s="172">
        <v>2306400</v>
      </c>
      <c r="R196" s="172">
        <v>2306400</v>
      </c>
      <c r="S196" s="172">
        <v>2306400</v>
      </c>
      <c r="T196" s="172"/>
      <c r="U196" s="217"/>
      <c r="V196" s="172">
        <f>104160*155</f>
        <v>16144800</v>
      </c>
      <c r="W196" s="172">
        <f t="shared" si="19"/>
        <v>18082176</v>
      </c>
      <c r="X196" s="214"/>
      <c r="Y196" s="135">
        <v>2013</v>
      </c>
      <c r="Z196" s="232"/>
      <c r="AD196" s="233"/>
      <c r="AE196" s="233"/>
      <c r="AF196" s="233"/>
      <c r="AG196" s="233"/>
    </row>
    <row r="197" spans="2:33" s="213" customFormat="1" ht="48" customHeight="1" x14ac:dyDescent="0.25">
      <c r="B197" s="82" t="s">
        <v>831</v>
      </c>
      <c r="C197" s="82" t="s">
        <v>2</v>
      </c>
      <c r="D197" s="82" t="s">
        <v>508</v>
      </c>
      <c r="E197" s="82" t="s">
        <v>509</v>
      </c>
      <c r="F197" s="82" t="s">
        <v>510</v>
      </c>
      <c r="G197" s="82" t="s">
        <v>524</v>
      </c>
      <c r="H197" s="82" t="s">
        <v>95</v>
      </c>
      <c r="I197" s="131">
        <v>0</v>
      </c>
      <c r="J197" s="132" t="s">
        <v>1048</v>
      </c>
      <c r="K197" s="55" t="s">
        <v>41</v>
      </c>
      <c r="L197" s="214"/>
      <c r="M197" s="146" t="s">
        <v>486</v>
      </c>
      <c r="N197" s="214"/>
      <c r="O197" s="172">
        <f>2610*155</f>
        <v>404550</v>
      </c>
      <c r="P197" s="172">
        <f>10440*155</f>
        <v>1618200</v>
      </c>
      <c r="Q197" s="172">
        <v>1618200</v>
      </c>
      <c r="R197" s="172">
        <v>1618200</v>
      </c>
      <c r="S197" s="172">
        <v>1618200</v>
      </c>
      <c r="T197" s="172"/>
      <c r="U197" s="217"/>
      <c r="V197" s="172">
        <f>73080*155</f>
        <v>11327400</v>
      </c>
      <c r="W197" s="172">
        <f t="shared" si="19"/>
        <v>12686688.000000002</v>
      </c>
      <c r="X197" s="214"/>
      <c r="Y197" s="135">
        <v>2013</v>
      </c>
      <c r="Z197" s="232"/>
      <c r="AD197" s="233"/>
      <c r="AE197" s="233"/>
      <c r="AF197" s="233"/>
      <c r="AG197" s="233"/>
    </row>
    <row r="198" spans="2:33" s="213" customFormat="1" ht="48" customHeight="1" x14ac:dyDescent="0.25">
      <c r="B198" s="82" t="s">
        <v>832</v>
      </c>
      <c r="C198" s="82" t="s">
        <v>2</v>
      </c>
      <c r="D198" s="82" t="s">
        <v>508</v>
      </c>
      <c r="E198" s="82" t="s">
        <v>509</v>
      </c>
      <c r="F198" s="82" t="s">
        <v>510</v>
      </c>
      <c r="G198" s="82" t="s">
        <v>525</v>
      </c>
      <c r="H198" s="82" t="s">
        <v>95</v>
      </c>
      <c r="I198" s="131">
        <v>0</v>
      </c>
      <c r="J198" s="132" t="s">
        <v>1048</v>
      </c>
      <c r="K198" s="55" t="s">
        <v>41</v>
      </c>
      <c r="L198" s="214"/>
      <c r="M198" s="146" t="s">
        <v>486</v>
      </c>
      <c r="N198" s="214"/>
      <c r="O198" s="172">
        <f>4860*155</f>
        <v>753300</v>
      </c>
      <c r="P198" s="172">
        <f>19440*155</f>
        <v>3013200</v>
      </c>
      <c r="Q198" s="172">
        <v>3013200</v>
      </c>
      <c r="R198" s="172">
        <v>3013200</v>
      </c>
      <c r="S198" s="172">
        <v>3013200</v>
      </c>
      <c r="T198" s="172"/>
      <c r="U198" s="217"/>
      <c r="V198" s="172">
        <f>136080*155</f>
        <v>21092400</v>
      </c>
      <c r="W198" s="172">
        <f t="shared" si="19"/>
        <v>23623488.000000004</v>
      </c>
      <c r="X198" s="214"/>
      <c r="Y198" s="135">
        <v>2013</v>
      </c>
      <c r="Z198" s="232"/>
      <c r="AD198" s="233"/>
      <c r="AE198" s="233"/>
      <c r="AF198" s="233"/>
      <c r="AG198" s="233"/>
    </row>
    <row r="199" spans="2:33" s="213" customFormat="1" ht="48" customHeight="1" x14ac:dyDescent="0.25">
      <c r="B199" s="82" t="s">
        <v>833</v>
      </c>
      <c r="C199" s="82" t="s">
        <v>2</v>
      </c>
      <c r="D199" s="82" t="s">
        <v>508</v>
      </c>
      <c r="E199" s="82" t="s">
        <v>509</v>
      </c>
      <c r="F199" s="82" t="s">
        <v>510</v>
      </c>
      <c r="G199" s="82" t="s">
        <v>526</v>
      </c>
      <c r="H199" s="82" t="s">
        <v>95</v>
      </c>
      <c r="I199" s="131">
        <v>0</v>
      </c>
      <c r="J199" s="132" t="s">
        <v>1048</v>
      </c>
      <c r="K199" s="55" t="s">
        <v>41</v>
      </c>
      <c r="L199" s="214"/>
      <c r="M199" s="146" t="s">
        <v>486</v>
      </c>
      <c r="N199" s="214"/>
      <c r="O199" s="172">
        <f>60000*155</f>
        <v>9300000</v>
      </c>
      <c r="P199" s="172">
        <f>240000*155</f>
        <v>37200000</v>
      </c>
      <c r="Q199" s="172">
        <v>37200000</v>
      </c>
      <c r="R199" s="172">
        <v>37200000</v>
      </c>
      <c r="S199" s="172">
        <v>37200000</v>
      </c>
      <c r="T199" s="172"/>
      <c r="U199" s="217"/>
      <c r="V199" s="172">
        <f>1680000*155</f>
        <v>260400000</v>
      </c>
      <c r="W199" s="172">
        <f t="shared" si="19"/>
        <v>291648000</v>
      </c>
      <c r="X199" s="214"/>
      <c r="Y199" s="135">
        <v>2013</v>
      </c>
      <c r="Z199" s="232"/>
      <c r="AD199" s="233"/>
      <c r="AE199" s="233"/>
      <c r="AF199" s="233"/>
      <c r="AG199" s="233"/>
    </row>
    <row r="200" spans="2:33" s="213" customFormat="1" ht="48" customHeight="1" x14ac:dyDescent="0.25">
      <c r="B200" s="82" t="s">
        <v>834</v>
      </c>
      <c r="C200" s="82" t="s">
        <v>2</v>
      </c>
      <c r="D200" s="82" t="s">
        <v>508</v>
      </c>
      <c r="E200" s="82" t="s">
        <v>509</v>
      </c>
      <c r="F200" s="82" t="s">
        <v>510</v>
      </c>
      <c r="G200" s="82" t="s">
        <v>527</v>
      </c>
      <c r="H200" s="82" t="s">
        <v>95</v>
      </c>
      <c r="I200" s="131">
        <v>0</v>
      </c>
      <c r="J200" s="132" t="s">
        <v>1048</v>
      </c>
      <c r="K200" s="55" t="s">
        <v>41</v>
      </c>
      <c r="L200" s="214"/>
      <c r="M200" s="146" t="s">
        <v>486</v>
      </c>
      <c r="N200" s="214"/>
      <c r="O200" s="172">
        <f>7605*155</f>
        <v>1178775</v>
      </c>
      <c r="P200" s="172">
        <f>30420*155</f>
        <v>4715100</v>
      </c>
      <c r="Q200" s="172">
        <v>4715100</v>
      </c>
      <c r="R200" s="172">
        <v>4715100</v>
      </c>
      <c r="S200" s="172">
        <v>4715100</v>
      </c>
      <c r="T200" s="172"/>
      <c r="U200" s="217"/>
      <c r="V200" s="172">
        <f>212940*155</f>
        <v>33005700</v>
      </c>
      <c r="W200" s="172">
        <f t="shared" si="19"/>
        <v>36966384</v>
      </c>
      <c r="X200" s="214"/>
      <c r="Y200" s="135">
        <v>2013</v>
      </c>
      <c r="Z200" s="232"/>
      <c r="AD200" s="233"/>
      <c r="AE200" s="233"/>
      <c r="AF200" s="233"/>
      <c r="AG200" s="233"/>
    </row>
    <row r="201" spans="2:33" s="213" customFormat="1" ht="48" customHeight="1" x14ac:dyDescent="0.25">
      <c r="B201" s="82" t="s">
        <v>835</v>
      </c>
      <c r="C201" s="82" t="s">
        <v>2</v>
      </c>
      <c r="D201" s="82" t="s">
        <v>508</v>
      </c>
      <c r="E201" s="82" t="s">
        <v>509</v>
      </c>
      <c r="F201" s="82" t="s">
        <v>510</v>
      </c>
      <c r="G201" s="82" t="s">
        <v>528</v>
      </c>
      <c r="H201" s="82" t="s">
        <v>95</v>
      </c>
      <c r="I201" s="131">
        <v>0</v>
      </c>
      <c r="J201" s="132" t="s">
        <v>1048</v>
      </c>
      <c r="K201" s="132" t="s">
        <v>529</v>
      </c>
      <c r="L201" s="214"/>
      <c r="M201" s="146" t="s">
        <v>486</v>
      </c>
      <c r="N201" s="214"/>
      <c r="O201" s="172">
        <v>840000</v>
      </c>
      <c r="P201" s="172">
        <v>3360000</v>
      </c>
      <c r="Q201" s="172">
        <v>3360000</v>
      </c>
      <c r="R201" s="172">
        <v>3360000</v>
      </c>
      <c r="S201" s="172">
        <v>3360000</v>
      </c>
      <c r="T201" s="172"/>
      <c r="U201" s="217"/>
      <c r="V201" s="172">
        <v>20160000</v>
      </c>
      <c r="W201" s="172">
        <f t="shared" si="19"/>
        <v>22579200.000000004</v>
      </c>
      <c r="X201" s="214"/>
      <c r="Y201" s="135">
        <v>2013</v>
      </c>
      <c r="Z201" s="232"/>
      <c r="AD201" s="233"/>
      <c r="AE201" s="233"/>
      <c r="AF201" s="233"/>
      <c r="AG201" s="233"/>
    </row>
    <row r="202" spans="2:33" s="213" customFormat="1" ht="48" customHeight="1" x14ac:dyDescent="0.25">
      <c r="B202" s="82" t="s">
        <v>836</v>
      </c>
      <c r="C202" s="82" t="s">
        <v>2</v>
      </c>
      <c r="D202" s="82" t="s">
        <v>512</v>
      </c>
      <c r="E202" s="82" t="s">
        <v>513</v>
      </c>
      <c r="F202" s="82" t="s">
        <v>514</v>
      </c>
      <c r="G202" s="82" t="s">
        <v>530</v>
      </c>
      <c r="H202" s="82" t="s">
        <v>95</v>
      </c>
      <c r="I202" s="131">
        <v>0</v>
      </c>
      <c r="J202" s="132" t="s">
        <v>1049</v>
      </c>
      <c r="K202" s="132" t="s">
        <v>531</v>
      </c>
      <c r="L202" s="214"/>
      <c r="M202" s="146" t="s">
        <v>486</v>
      </c>
      <c r="N202" s="214"/>
      <c r="O202" s="172">
        <v>500000</v>
      </c>
      <c r="P202" s="172">
        <v>3000000</v>
      </c>
      <c r="Q202" s="172">
        <v>3000000</v>
      </c>
      <c r="R202" s="172">
        <v>3000000</v>
      </c>
      <c r="S202" s="172"/>
      <c r="T202" s="172"/>
      <c r="U202" s="217"/>
      <c r="V202" s="172">
        <v>9500000</v>
      </c>
      <c r="W202" s="172">
        <f t="shared" si="19"/>
        <v>10640000.000000002</v>
      </c>
      <c r="X202" s="214"/>
      <c r="Y202" s="135">
        <v>2013</v>
      </c>
      <c r="Z202" s="232"/>
      <c r="AD202" s="233"/>
      <c r="AE202" s="233"/>
      <c r="AF202" s="233"/>
      <c r="AG202" s="233"/>
    </row>
    <row r="203" spans="2:33" s="213" customFormat="1" ht="48" customHeight="1" x14ac:dyDescent="0.25">
      <c r="B203" s="82" t="s">
        <v>837</v>
      </c>
      <c r="C203" s="82" t="s">
        <v>2</v>
      </c>
      <c r="D203" s="82" t="s">
        <v>512</v>
      </c>
      <c r="E203" s="82" t="s">
        <v>513</v>
      </c>
      <c r="F203" s="82" t="s">
        <v>514</v>
      </c>
      <c r="G203" s="82" t="s">
        <v>532</v>
      </c>
      <c r="H203" s="82" t="s">
        <v>95</v>
      </c>
      <c r="I203" s="131">
        <v>0</v>
      </c>
      <c r="J203" s="132" t="s">
        <v>1050</v>
      </c>
      <c r="K203" s="132" t="s">
        <v>531</v>
      </c>
      <c r="L203" s="214"/>
      <c r="M203" s="146" t="s">
        <v>486</v>
      </c>
      <c r="N203" s="214"/>
      <c r="O203" s="172">
        <v>34220</v>
      </c>
      <c r="P203" s="172">
        <v>205260</v>
      </c>
      <c r="Q203" s="172">
        <v>205260</v>
      </c>
      <c r="R203" s="172">
        <v>205260</v>
      </c>
      <c r="S203" s="172"/>
      <c r="T203" s="172"/>
      <c r="U203" s="217"/>
      <c r="V203" s="172">
        <v>650000</v>
      </c>
      <c r="W203" s="172">
        <f t="shared" si="19"/>
        <v>728000.00000000012</v>
      </c>
      <c r="X203" s="214"/>
      <c r="Y203" s="135">
        <v>2013</v>
      </c>
      <c r="Z203" s="232"/>
      <c r="AD203" s="233"/>
      <c r="AE203" s="233"/>
      <c r="AF203" s="233"/>
      <c r="AG203" s="233"/>
    </row>
    <row r="204" spans="2:33" s="213" customFormat="1" ht="48" customHeight="1" x14ac:dyDescent="0.25">
      <c r="B204" s="82" t="s">
        <v>838</v>
      </c>
      <c r="C204" s="82" t="s">
        <v>2</v>
      </c>
      <c r="D204" s="82" t="s">
        <v>533</v>
      </c>
      <c r="E204" s="82" t="s">
        <v>534</v>
      </c>
      <c r="F204" s="82" t="s">
        <v>535</v>
      </c>
      <c r="G204" s="82" t="s">
        <v>536</v>
      </c>
      <c r="H204" s="82" t="s">
        <v>95</v>
      </c>
      <c r="I204" s="131">
        <v>100</v>
      </c>
      <c r="J204" s="132" t="s">
        <v>537</v>
      </c>
      <c r="K204" s="132" t="s">
        <v>538</v>
      </c>
      <c r="L204" s="214"/>
      <c r="M204" s="146" t="s">
        <v>486</v>
      </c>
      <c r="N204" s="217"/>
      <c r="O204" s="172">
        <v>5210753</v>
      </c>
      <c r="P204" s="172">
        <v>5210753</v>
      </c>
      <c r="Q204" s="172">
        <v>5210753</v>
      </c>
      <c r="R204" s="172"/>
      <c r="S204" s="172"/>
      <c r="T204" s="172"/>
      <c r="U204" s="217"/>
      <c r="V204" s="172">
        <f>O204+P204+Q204</f>
        <v>15632259</v>
      </c>
      <c r="W204" s="172">
        <f t="shared" si="19"/>
        <v>17508130.080000002</v>
      </c>
      <c r="X204" s="214"/>
      <c r="Y204" s="135">
        <v>2013</v>
      </c>
      <c r="Z204" s="232"/>
      <c r="AD204" s="233"/>
      <c r="AE204" s="233"/>
      <c r="AF204" s="233"/>
      <c r="AG204" s="233"/>
    </row>
    <row r="205" spans="2:33" s="213" customFormat="1" ht="48" customHeight="1" x14ac:dyDescent="0.25">
      <c r="B205" s="82" t="s">
        <v>839</v>
      </c>
      <c r="C205" s="82" t="s">
        <v>2</v>
      </c>
      <c r="D205" s="82" t="s">
        <v>539</v>
      </c>
      <c r="E205" s="82" t="s">
        <v>540</v>
      </c>
      <c r="F205" s="82" t="s">
        <v>540</v>
      </c>
      <c r="G205" s="82" t="s">
        <v>541</v>
      </c>
      <c r="H205" s="82" t="s">
        <v>3</v>
      </c>
      <c r="I205" s="131">
        <v>100</v>
      </c>
      <c r="J205" s="132" t="s">
        <v>542</v>
      </c>
      <c r="K205" s="132" t="s">
        <v>380</v>
      </c>
      <c r="L205" s="214"/>
      <c r="M205" s="146" t="s">
        <v>543</v>
      </c>
      <c r="N205" s="214"/>
      <c r="O205" s="172">
        <v>38772000</v>
      </c>
      <c r="P205" s="172">
        <v>38772000</v>
      </c>
      <c r="Q205" s="172">
        <v>38772000</v>
      </c>
      <c r="R205" s="172">
        <v>38772000</v>
      </c>
      <c r="S205" s="172">
        <v>38772000</v>
      </c>
      <c r="T205" s="172"/>
      <c r="U205" s="217"/>
      <c r="V205" s="172">
        <f>O205+P205+Q205+R205+S205</f>
        <v>193860000</v>
      </c>
      <c r="W205" s="172">
        <f t="shared" si="19"/>
        <v>217123200.00000003</v>
      </c>
      <c r="X205" s="214"/>
      <c r="Y205" s="135">
        <v>2013</v>
      </c>
      <c r="Z205" s="232"/>
      <c r="AD205" s="233"/>
      <c r="AE205" s="233"/>
      <c r="AF205" s="233"/>
      <c r="AG205" s="233"/>
    </row>
    <row r="206" spans="2:33" s="213" customFormat="1" ht="48" customHeight="1" x14ac:dyDescent="0.25">
      <c r="B206" s="82" t="s">
        <v>840</v>
      </c>
      <c r="C206" s="82" t="s">
        <v>2</v>
      </c>
      <c r="D206" s="82" t="s">
        <v>544</v>
      </c>
      <c r="E206" s="82" t="s">
        <v>545</v>
      </c>
      <c r="F206" s="82" t="s">
        <v>546</v>
      </c>
      <c r="G206" s="82" t="s">
        <v>547</v>
      </c>
      <c r="H206" s="82" t="s">
        <v>95</v>
      </c>
      <c r="I206" s="131">
        <v>100</v>
      </c>
      <c r="J206" s="132" t="s">
        <v>477</v>
      </c>
      <c r="K206" s="132" t="s">
        <v>548</v>
      </c>
      <c r="L206" s="214"/>
      <c r="M206" s="146" t="s">
        <v>486</v>
      </c>
      <c r="N206" s="214"/>
      <c r="O206" s="172">
        <v>68290.5</v>
      </c>
      <c r="P206" s="172">
        <v>136581</v>
      </c>
      <c r="Q206" s="172">
        <v>136581</v>
      </c>
      <c r="R206" s="172"/>
      <c r="S206" s="172"/>
      <c r="T206" s="172"/>
      <c r="U206" s="217"/>
      <c r="V206" s="172">
        <f>O206+P206+Q206+R206+S206</f>
        <v>341452.5</v>
      </c>
      <c r="W206" s="172">
        <f t="shared" si="19"/>
        <v>382426.80000000005</v>
      </c>
      <c r="X206" s="214"/>
      <c r="Y206" s="135">
        <v>2013</v>
      </c>
      <c r="Z206" s="232"/>
      <c r="AD206" s="233"/>
      <c r="AE206" s="233"/>
      <c r="AF206" s="233"/>
      <c r="AG206" s="233"/>
    </row>
    <row r="207" spans="2:33" s="213" customFormat="1" ht="48" customHeight="1" x14ac:dyDescent="0.25">
      <c r="B207" s="82" t="s">
        <v>841</v>
      </c>
      <c r="C207" s="82" t="s">
        <v>2</v>
      </c>
      <c r="D207" s="82" t="s">
        <v>549</v>
      </c>
      <c r="E207" s="82" t="s">
        <v>550</v>
      </c>
      <c r="F207" s="82" t="s">
        <v>550</v>
      </c>
      <c r="G207" s="82" t="s">
        <v>550</v>
      </c>
      <c r="H207" s="82" t="s">
        <v>3</v>
      </c>
      <c r="I207" s="131">
        <v>100</v>
      </c>
      <c r="J207" s="132" t="s">
        <v>1028</v>
      </c>
      <c r="K207" s="55" t="s">
        <v>41</v>
      </c>
      <c r="L207" s="214"/>
      <c r="M207" s="146" t="s">
        <v>486</v>
      </c>
      <c r="N207" s="214"/>
      <c r="O207" s="172">
        <v>18570600</v>
      </c>
      <c r="P207" s="172">
        <v>30807000</v>
      </c>
      <c r="Q207" s="172"/>
      <c r="R207" s="172"/>
      <c r="S207" s="172"/>
      <c r="T207" s="172"/>
      <c r="U207" s="217"/>
      <c r="V207" s="172">
        <f>O207+P207+Q207+R207+S207</f>
        <v>49377600</v>
      </c>
      <c r="W207" s="172">
        <f t="shared" si="19"/>
        <v>55302912.000000007</v>
      </c>
      <c r="X207" s="214"/>
      <c r="Y207" s="135">
        <v>2013</v>
      </c>
      <c r="Z207" s="135" t="s">
        <v>1086</v>
      </c>
      <c r="AD207" s="233"/>
      <c r="AE207" s="233"/>
      <c r="AF207" s="233"/>
      <c r="AG207" s="233"/>
    </row>
    <row r="208" spans="2:33" s="213" customFormat="1" ht="48" customHeight="1" x14ac:dyDescent="0.25">
      <c r="B208" s="82" t="s">
        <v>842</v>
      </c>
      <c r="C208" s="82" t="s">
        <v>2</v>
      </c>
      <c r="D208" s="82" t="s">
        <v>551</v>
      </c>
      <c r="E208" s="82" t="s">
        <v>552</v>
      </c>
      <c r="F208" s="82" t="s">
        <v>553</v>
      </c>
      <c r="G208" s="82" t="s">
        <v>554</v>
      </c>
      <c r="H208" s="82" t="s">
        <v>3</v>
      </c>
      <c r="I208" s="131">
        <v>100</v>
      </c>
      <c r="J208" s="132" t="s">
        <v>1028</v>
      </c>
      <c r="K208" s="55" t="s">
        <v>41</v>
      </c>
      <c r="L208" s="214"/>
      <c r="M208" s="146" t="s">
        <v>486</v>
      </c>
      <c r="N208" s="214"/>
      <c r="O208" s="172">
        <v>7207200</v>
      </c>
      <c r="P208" s="172">
        <v>28828800</v>
      </c>
      <c r="Q208" s="172"/>
      <c r="R208" s="172"/>
      <c r="S208" s="172"/>
      <c r="T208" s="172"/>
      <c r="U208" s="217"/>
      <c r="V208" s="172">
        <v>36036000</v>
      </c>
      <c r="W208" s="172">
        <f t="shared" si="19"/>
        <v>40360320.000000007</v>
      </c>
      <c r="X208" s="214"/>
      <c r="Y208" s="135">
        <v>2013</v>
      </c>
      <c r="Z208" s="232"/>
      <c r="AD208" s="233"/>
      <c r="AE208" s="233"/>
      <c r="AF208" s="233"/>
      <c r="AG208" s="233"/>
    </row>
    <row r="209" spans="2:33" s="213" customFormat="1" ht="48" customHeight="1" x14ac:dyDescent="0.25">
      <c r="B209" s="82" t="s">
        <v>843</v>
      </c>
      <c r="C209" s="82" t="s">
        <v>2</v>
      </c>
      <c r="D209" s="82" t="s">
        <v>551</v>
      </c>
      <c r="E209" s="82" t="s">
        <v>552</v>
      </c>
      <c r="F209" s="82" t="s">
        <v>553</v>
      </c>
      <c r="G209" s="82" t="s">
        <v>554</v>
      </c>
      <c r="H209" s="82" t="s">
        <v>3</v>
      </c>
      <c r="I209" s="131">
        <v>100</v>
      </c>
      <c r="J209" s="132" t="s">
        <v>1028</v>
      </c>
      <c r="K209" s="132" t="s">
        <v>469</v>
      </c>
      <c r="L209" s="214"/>
      <c r="M209" s="146" t="s">
        <v>486</v>
      </c>
      <c r="N209" s="214"/>
      <c r="O209" s="172">
        <v>1556100</v>
      </c>
      <c r="P209" s="172">
        <f>V209-O209</f>
        <v>6224400</v>
      </c>
      <c r="Q209" s="172"/>
      <c r="R209" s="172"/>
      <c r="S209" s="172"/>
      <c r="T209" s="172"/>
      <c r="U209" s="217"/>
      <c r="V209" s="172">
        <v>7780500</v>
      </c>
      <c r="W209" s="172">
        <f t="shared" si="19"/>
        <v>8714160</v>
      </c>
      <c r="X209" s="214"/>
      <c r="Y209" s="135">
        <v>2013</v>
      </c>
      <c r="Z209" s="232"/>
      <c r="AD209" s="233"/>
      <c r="AE209" s="233"/>
      <c r="AF209" s="233"/>
      <c r="AG209" s="233"/>
    </row>
    <row r="210" spans="2:33" s="213" customFormat="1" ht="48" customHeight="1" x14ac:dyDescent="0.25">
      <c r="B210" s="82" t="s">
        <v>844</v>
      </c>
      <c r="C210" s="82" t="s">
        <v>2</v>
      </c>
      <c r="D210" s="82" t="s">
        <v>551</v>
      </c>
      <c r="E210" s="82" t="s">
        <v>552</v>
      </c>
      <c r="F210" s="82" t="s">
        <v>553</v>
      </c>
      <c r="G210" s="82" t="s">
        <v>555</v>
      </c>
      <c r="H210" s="82" t="s">
        <v>3</v>
      </c>
      <c r="I210" s="131">
        <v>100</v>
      </c>
      <c r="J210" s="132" t="s">
        <v>1028</v>
      </c>
      <c r="K210" s="55" t="s">
        <v>41</v>
      </c>
      <c r="L210" s="214"/>
      <c r="M210" s="146" t="s">
        <v>486</v>
      </c>
      <c r="N210" s="214"/>
      <c r="O210" s="172">
        <v>982800</v>
      </c>
      <c r="P210" s="172">
        <f>V210-O210</f>
        <v>3931200</v>
      </c>
      <c r="Q210" s="172"/>
      <c r="R210" s="172"/>
      <c r="S210" s="172"/>
      <c r="T210" s="172"/>
      <c r="U210" s="217"/>
      <c r="V210" s="172">
        <v>4914000</v>
      </c>
      <c r="W210" s="172">
        <f t="shared" si="19"/>
        <v>5503680.0000000009</v>
      </c>
      <c r="X210" s="214"/>
      <c r="Y210" s="135">
        <v>2013</v>
      </c>
      <c r="Z210" s="232"/>
      <c r="AD210" s="233"/>
      <c r="AE210" s="233"/>
      <c r="AF210" s="233"/>
      <c r="AG210" s="233"/>
    </row>
    <row r="211" spans="2:33" s="213" customFormat="1" ht="48" customHeight="1" x14ac:dyDescent="0.25">
      <c r="B211" s="82" t="s">
        <v>845</v>
      </c>
      <c r="C211" s="82" t="s">
        <v>2</v>
      </c>
      <c r="D211" s="82" t="s">
        <v>551</v>
      </c>
      <c r="E211" s="82" t="s">
        <v>552</v>
      </c>
      <c r="F211" s="82" t="s">
        <v>553</v>
      </c>
      <c r="G211" s="82" t="s">
        <v>555</v>
      </c>
      <c r="H211" s="82" t="s">
        <v>3</v>
      </c>
      <c r="I211" s="131">
        <v>100</v>
      </c>
      <c r="J211" s="132" t="s">
        <v>1028</v>
      </c>
      <c r="K211" s="132" t="s">
        <v>469</v>
      </c>
      <c r="L211" s="214"/>
      <c r="M211" s="146" t="s">
        <v>486</v>
      </c>
      <c r="N211" s="214"/>
      <c r="O211" s="172">
        <v>491400</v>
      </c>
      <c r="P211" s="172">
        <f>V211-O211</f>
        <v>1965600</v>
      </c>
      <c r="Q211" s="172"/>
      <c r="R211" s="172"/>
      <c r="S211" s="172"/>
      <c r="T211" s="172"/>
      <c r="U211" s="217"/>
      <c r="V211" s="172">
        <v>2457000</v>
      </c>
      <c r="W211" s="172">
        <f t="shared" si="19"/>
        <v>2751840.0000000005</v>
      </c>
      <c r="X211" s="214"/>
      <c r="Y211" s="135">
        <v>2013</v>
      </c>
      <c r="Z211" s="232"/>
      <c r="AD211" s="233"/>
      <c r="AE211" s="233"/>
      <c r="AF211" s="233"/>
      <c r="AG211" s="233"/>
    </row>
    <row r="212" spans="2:33" s="213" customFormat="1" ht="48" customHeight="1" x14ac:dyDescent="0.25">
      <c r="B212" s="82" t="s">
        <v>846</v>
      </c>
      <c r="C212" s="82" t="s">
        <v>2</v>
      </c>
      <c r="D212" s="82" t="s">
        <v>551</v>
      </c>
      <c r="E212" s="82" t="s">
        <v>552</v>
      </c>
      <c r="F212" s="82" t="s">
        <v>553</v>
      </c>
      <c r="G212" s="82" t="s">
        <v>555</v>
      </c>
      <c r="H212" s="82" t="s">
        <v>3</v>
      </c>
      <c r="I212" s="131">
        <v>100</v>
      </c>
      <c r="J212" s="132" t="s">
        <v>1028</v>
      </c>
      <c r="K212" s="132" t="s">
        <v>556</v>
      </c>
      <c r="L212" s="214"/>
      <c r="M212" s="146" t="s">
        <v>486</v>
      </c>
      <c r="N212" s="214"/>
      <c r="O212" s="172">
        <v>491400</v>
      </c>
      <c r="P212" s="172">
        <f>V212-O212</f>
        <v>1965600</v>
      </c>
      <c r="Q212" s="172"/>
      <c r="R212" s="172"/>
      <c r="S212" s="172"/>
      <c r="T212" s="172"/>
      <c r="U212" s="217"/>
      <c r="V212" s="172">
        <v>2457000</v>
      </c>
      <c r="W212" s="172">
        <f t="shared" si="19"/>
        <v>2751840.0000000005</v>
      </c>
      <c r="X212" s="214"/>
      <c r="Y212" s="135">
        <v>2013</v>
      </c>
      <c r="Z212" s="232"/>
      <c r="AD212" s="233"/>
      <c r="AE212" s="233"/>
      <c r="AF212" s="233"/>
      <c r="AG212" s="233"/>
    </row>
    <row r="213" spans="2:33" s="213" customFormat="1" ht="48" customHeight="1" x14ac:dyDescent="0.25">
      <c r="B213" s="82" t="s">
        <v>847</v>
      </c>
      <c r="C213" s="82" t="s">
        <v>2</v>
      </c>
      <c r="D213" s="82" t="s">
        <v>557</v>
      </c>
      <c r="E213" s="82" t="s">
        <v>558</v>
      </c>
      <c r="F213" s="82" t="s">
        <v>558</v>
      </c>
      <c r="G213" s="82" t="s">
        <v>559</v>
      </c>
      <c r="H213" s="82" t="s">
        <v>95</v>
      </c>
      <c r="I213" s="131">
        <v>100</v>
      </c>
      <c r="J213" s="132" t="s">
        <v>1051</v>
      </c>
      <c r="K213" s="55" t="s">
        <v>41</v>
      </c>
      <c r="L213" s="214"/>
      <c r="M213" s="146" t="s">
        <v>316</v>
      </c>
      <c r="N213" s="214"/>
      <c r="O213" s="172"/>
      <c r="P213" s="172">
        <v>20000000</v>
      </c>
      <c r="Q213" s="172">
        <v>20000000</v>
      </c>
      <c r="R213" s="172">
        <v>20000000</v>
      </c>
      <c r="S213" s="172"/>
      <c r="T213" s="172"/>
      <c r="U213" s="217"/>
      <c r="V213" s="172">
        <f>P213+Q213+R213+S213</f>
        <v>60000000</v>
      </c>
      <c r="W213" s="172">
        <f t="shared" si="19"/>
        <v>67200000</v>
      </c>
      <c r="X213" s="214"/>
      <c r="Y213" s="135">
        <v>2013</v>
      </c>
      <c r="Z213" s="232"/>
      <c r="AD213" s="233"/>
      <c r="AE213" s="233"/>
      <c r="AF213" s="233"/>
      <c r="AG213" s="233"/>
    </row>
    <row r="214" spans="2:33" s="213" customFormat="1" ht="48" customHeight="1" x14ac:dyDescent="0.25">
      <c r="B214" s="82" t="s">
        <v>848</v>
      </c>
      <c r="C214" s="82" t="s">
        <v>2</v>
      </c>
      <c r="D214" s="82" t="s">
        <v>300</v>
      </c>
      <c r="E214" s="82" t="s">
        <v>301</v>
      </c>
      <c r="F214" s="82" t="s">
        <v>302</v>
      </c>
      <c r="G214" s="82" t="s">
        <v>560</v>
      </c>
      <c r="H214" s="82" t="s">
        <v>3</v>
      </c>
      <c r="I214" s="131">
        <v>0</v>
      </c>
      <c r="J214" s="132" t="s">
        <v>1046</v>
      </c>
      <c r="K214" s="132" t="s">
        <v>321</v>
      </c>
      <c r="L214" s="214"/>
      <c r="M214" s="146" t="s">
        <v>316</v>
      </c>
      <c r="N214" s="214"/>
      <c r="O214" s="172">
        <v>2995730</v>
      </c>
      <c r="P214" s="172">
        <v>2752135</v>
      </c>
      <c r="Q214" s="172">
        <v>2752135</v>
      </c>
      <c r="R214" s="172"/>
      <c r="S214" s="172"/>
      <c r="T214" s="172"/>
      <c r="U214" s="217"/>
      <c r="V214" s="172">
        <f>O214+P214+Q214+S214</f>
        <v>8500000</v>
      </c>
      <c r="W214" s="172">
        <f t="shared" si="19"/>
        <v>9520000</v>
      </c>
      <c r="X214" s="214"/>
      <c r="Y214" s="135">
        <v>2013</v>
      </c>
      <c r="Z214" s="232"/>
      <c r="AD214" s="233"/>
      <c r="AE214" s="233"/>
      <c r="AF214" s="233"/>
      <c r="AG214" s="233"/>
    </row>
    <row r="215" spans="2:33" s="213" customFormat="1" ht="48" customHeight="1" x14ac:dyDescent="0.25">
      <c r="B215" s="82" t="s">
        <v>849</v>
      </c>
      <c r="C215" s="82" t="s">
        <v>2</v>
      </c>
      <c r="D215" s="82" t="s">
        <v>561</v>
      </c>
      <c r="E215" s="82" t="s">
        <v>562</v>
      </c>
      <c r="F215" s="82" t="s">
        <v>562</v>
      </c>
      <c r="G215" s="82" t="s">
        <v>563</v>
      </c>
      <c r="H215" s="82" t="s">
        <v>3</v>
      </c>
      <c r="I215" s="131">
        <v>0</v>
      </c>
      <c r="J215" s="132" t="s">
        <v>1039</v>
      </c>
      <c r="K215" s="132" t="s">
        <v>564</v>
      </c>
      <c r="L215" s="214"/>
      <c r="M215" s="146" t="s">
        <v>316</v>
      </c>
      <c r="N215" s="214"/>
      <c r="O215" s="172">
        <v>800000</v>
      </c>
      <c r="P215" s="172">
        <v>800000</v>
      </c>
      <c r="Q215" s="172">
        <v>800000</v>
      </c>
      <c r="R215" s="172">
        <v>800000</v>
      </c>
      <c r="S215" s="172">
        <v>800000</v>
      </c>
      <c r="T215" s="172"/>
      <c r="U215" s="217"/>
      <c r="V215" s="172">
        <f>O215+P215+Q215+R215+S215</f>
        <v>4000000</v>
      </c>
      <c r="W215" s="172">
        <f t="shared" si="19"/>
        <v>4480000</v>
      </c>
      <c r="X215" s="214"/>
      <c r="Y215" s="135">
        <v>2013</v>
      </c>
      <c r="Z215" s="232"/>
      <c r="AD215" s="233"/>
      <c r="AE215" s="233"/>
      <c r="AF215" s="233"/>
      <c r="AG215" s="233"/>
    </row>
    <row r="216" spans="2:33" s="213" customFormat="1" ht="48" customHeight="1" x14ac:dyDescent="0.25">
      <c r="B216" s="82" t="s">
        <v>850</v>
      </c>
      <c r="C216" s="82" t="s">
        <v>2</v>
      </c>
      <c r="D216" s="82" t="s">
        <v>565</v>
      </c>
      <c r="E216" s="82" t="s">
        <v>566</v>
      </c>
      <c r="F216" s="82" t="s">
        <v>566</v>
      </c>
      <c r="G216" s="82" t="s">
        <v>567</v>
      </c>
      <c r="H216" s="82" t="s">
        <v>3</v>
      </c>
      <c r="I216" s="131">
        <v>0</v>
      </c>
      <c r="J216" s="132" t="s">
        <v>542</v>
      </c>
      <c r="K216" s="55" t="s">
        <v>41</v>
      </c>
      <c r="L216" s="214"/>
      <c r="M216" s="146" t="s">
        <v>568</v>
      </c>
      <c r="N216" s="214"/>
      <c r="O216" s="172">
        <v>82008382.5</v>
      </c>
      <c r="P216" s="172">
        <v>70829005.5</v>
      </c>
      <c r="Q216" s="172">
        <v>64865988</v>
      </c>
      <c r="R216" s="172">
        <v>58992664.5</v>
      </c>
      <c r="S216" s="172">
        <v>52717203</v>
      </c>
      <c r="T216" s="172"/>
      <c r="U216" s="217"/>
      <c r="V216" s="172">
        <v>600347880</v>
      </c>
      <c r="W216" s="172">
        <f t="shared" si="19"/>
        <v>672389625.60000002</v>
      </c>
      <c r="X216" s="214"/>
      <c r="Y216" s="135">
        <v>2013</v>
      </c>
      <c r="Z216" s="232"/>
      <c r="AD216" s="233"/>
      <c r="AE216" s="233"/>
      <c r="AF216" s="233"/>
      <c r="AG216" s="233"/>
    </row>
    <row r="217" spans="2:33" s="213" customFormat="1" ht="48" customHeight="1" x14ac:dyDescent="0.25">
      <c r="B217" s="82" t="s">
        <v>851</v>
      </c>
      <c r="C217" s="82" t="s">
        <v>2</v>
      </c>
      <c r="D217" s="82" t="s">
        <v>565</v>
      </c>
      <c r="E217" s="82" t="s">
        <v>566</v>
      </c>
      <c r="F217" s="82" t="s">
        <v>566</v>
      </c>
      <c r="G217" s="82" t="s">
        <v>569</v>
      </c>
      <c r="H217" s="82" t="s">
        <v>3</v>
      </c>
      <c r="I217" s="131">
        <v>0</v>
      </c>
      <c r="J217" s="132" t="s">
        <v>1034</v>
      </c>
      <c r="K217" s="55" t="s">
        <v>41</v>
      </c>
      <c r="L217" s="214"/>
      <c r="M217" s="146" t="s">
        <v>568</v>
      </c>
      <c r="N217" s="214"/>
      <c r="O217" s="172">
        <v>130358326</v>
      </c>
      <c r="P217" s="172">
        <v>201385711</v>
      </c>
      <c r="Q217" s="172">
        <v>185459761</v>
      </c>
      <c r="R217" s="172">
        <v>169259727</v>
      </c>
      <c r="S217" s="172">
        <v>152780891</v>
      </c>
      <c r="T217" s="172"/>
      <c r="U217" s="217"/>
      <c r="V217" s="172">
        <v>1430448960</v>
      </c>
      <c r="W217" s="172">
        <f t="shared" si="19"/>
        <v>1602102835.2</v>
      </c>
      <c r="X217" s="214"/>
      <c r="Y217" s="135">
        <v>2013</v>
      </c>
      <c r="Z217" s="232"/>
      <c r="AD217" s="233"/>
      <c r="AE217" s="233"/>
      <c r="AF217" s="233"/>
      <c r="AG217" s="233"/>
    </row>
    <row r="218" spans="2:33" s="213" customFormat="1" ht="48" customHeight="1" x14ac:dyDescent="0.25">
      <c r="B218" s="82" t="s">
        <v>852</v>
      </c>
      <c r="C218" s="82" t="s">
        <v>2</v>
      </c>
      <c r="D218" s="82" t="s">
        <v>570</v>
      </c>
      <c r="E218" s="82" t="s">
        <v>571</v>
      </c>
      <c r="F218" s="82" t="s">
        <v>572</v>
      </c>
      <c r="G218" s="82" t="s">
        <v>573</v>
      </c>
      <c r="H218" s="82" t="s">
        <v>95</v>
      </c>
      <c r="I218" s="131">
        <v>0</v>
      </c>
      <c r="J218" s="132" t="s">
        <v>309</v>
      </c>
      <c r="K218" s="55" t="s">
        <v>41</v>
      </c>
      <c r="L218" s="214"/>
      <c r="M218" s="146" t="s">
        <v>316</v>
      </c>
      <c r="N218" s="214"/>
      <c r="O218" s="172">
        <v>2406267.5</v>
      </c>
      <c r="P218" s="172">
        <v>2406267.5</v>
      </c>
      <c r="Q218" s="172">
        <v>2406267.5</v>
      </c>
      <c r="R218" s="172"/>
      <c r="S218" s="172"/>
      <c r="T218" s="172"/>
      <c r="U218" s="217"/>
      <c r="V218" s="172">
        <v>7218802.5</v>
      </c>
      <c r="W218" s="172">
        <f t="shared" si="19"/>
        <v>8085058.8000000007</v>
      </c>
      <c r="X218" s="214"/>
      <c r="Y218" s="135">
        <v>2013</v>
      </c>
      <c r="Z218" s="232"/>
      <c r="AD218" s="233"/>
      <c r="AE218" s="233"/>
      <c r="AF218" s="233"/>
      <c r="AG218" s="233"/>
    </row>
    <row r="219" spans="2:33" s="213" customFormat="1" ht="48" customHeight="1" x14ac:dyDescent="0.25">
      <c r="B219" s="82" t="s">
        <v>853</v>
      </c>
      <c r="C219" s="82" t="s">
        <v>2</v>
      </c>
      <c r="D219" s="82" t="s">
        <v>574</v>
      </c>
      <c r="E219" s="82" t="s">
        <v>575</v>
      </c>
      <c r="F219" s="82" t="s">
        <v>575</v>
      </c>
      <c r="G219" s="82" t="s">
        <v>576</v>
      </c>
      <c r="H219" s="82" t="s">
        <v>3</v>
      </c>
      <c r="I219" s="131">
        <v>0</v>
      </c>
      <c r="J219" s="132" t="s">
        <v>1052</v>
      </c>
      <c r="K219" s="132" t="s">
        <v>577</v>
      </c>
      <c r="L219" s="214"/>
      <c r="M219" s="146" t="s">
        <v>578</v>
      </c>
      <c r="N219" s="214"/>
      <c r="O219" s="172">
        <v>18468688</v>
      </c>
      <c r="P219" s="172">
        <v>24671061</v>
      </c>
      <c r="Q219" s="172">
        <v>25866094</v>
      </c>
      <c r="R219" s="172"/>
      <c r="S219" s="172"/>
      <c r="T219" s="172"/>
      <c r="U219" s="217"/>
      <c r="V219" s="172">
        <v>69005843</v>
      </c>
      <c r="W219" s="172">
        <f t="shared" si="19"/>
        <v>77286544.160000011</v>
      </c>
      <c r="X219" s="214"/>
      <c r="Y219" s="135">
        <v>2013</v>
      </c>
      <c r="Z219" s="232"/>
      <c r="AD219" s="233"/>
      <c r="AE219" s="233"/>
      <c r="AF219" s="233"/>
      <c r="AG219" s="233"/>
    </row>
    <row r="220" spans="2:33" s="213" customFormat="1" ht="48" customHeight="1" x14ac:dyDescent="0.25">
      <c r="B220" s="82" t="s">
        <v>854</v>
      </c>
      <c r="C220" s="82" t="s">
        <v>2</v>
      </c>
      <c r="D220" s="82" t="s">
        <v>300</v>
      </c>
      <c r="E220" s="82" t="s">
        <v>301</v>
      </c>
      <c r="F220" s="82" t="s">
        <v>302</v>
      </c>
      <c r="G220" s="82" t="s">
        <v>579</v>
      </c>
      <c r="H220" s="82" t="s">
        <v>3</v>
      </c>
      <c r="I220" s="131">
        <v>0</v>
      </c>
      <c r="J220" s="132" t="s">
        <v>1034</v>
      </c>
      <c r="K220" s="55" t="s">
        <v>41</v>
      </c>
      <c r="L220" s="214"/>
      <c r="M220" s="146" t="s">
        <v>316</v>
      </c>
      <c r="N220" s="214"/>
      <c r="O220" s="172">
        <v>25236962.199999999</v>
      </c>
      <c r="P220" s="172">
        <v>21335756.399999999</v>
      </c>
      <c r="Q220" s="172">
        <v>24512736</v>
      </c>
      <c r="R220" s="172">
        <v>28189646.399999999</v>
      </c>
      <c r="S220" s="172"/>
      <c r="T220" s="172"/>
      <c r="U220" s="217"/>
      <c r="V220" s="172">
        <v>99275101</v>
      </c>
      <c r="W220" s="172">
        <f t="shared" si="19"/>
        <v>111188113.12</v>
      </c>
      <c r="X220" s="214"/>
      <c r="Y220" s="135">
        <v>2013</v>
      </c>
      <c r="Z220" s="232"/>
      <c r="AD220" s="233"/>
      <c r="AE220" s="233"/>
      <c r="AF220" s="233"/>
      <c r="AG220" s="233"/>
    </row>
    <row r="221" spans="2:33" s="213" customFormat="1" ht="48" customHeight="1" x14ac:dyDescent="0.25">
      <c r="B221" s="82" t="s">
        <v>855</v>
      </c>
      <c r="C221" s="82" t="s">
        <v>2</v>
      </c>
      <c r="D221" s="82" t="s">
        <v>295</v>
      </c>
      <c r="E221" s="82" t="s">
        <v>296</v>
      </c>
      <c r="F221" s="82" t="s">
        <v>296</v>
      </c>
      <c r="G221" s="82" t="s">
        <v>580</v>
      </c>
      <c r="H221" s="82" t="s">
        <v>3</v>
      </c>
      <c r="I221" s="131">
        <v>0</v>
      </c>
      <c r="J221" s="132" t="s">
        <v>1053</v>
      </c>
      <c r="K221" s="132" t="s">
        <v>581</v>
      </c>
      <c r="L221" s="214"/>
      <c r="M221" s="146" t="s">
        <v>322</v>
      </c>
      <c r="N221" s="214"/>
      <c r="O221" s="172">
        <v>84835525</v>
      </c>
      <c r="P221" s="172">
        <v>118251886.5</v>
      </c>
      <c r="Q221" s="172">
        <v>118251886.5</v>
      </c>
      <c r="R221" s="172"/>
      <c r="S221" s="172"/>
      <c r="T221" s="172"/>
      <c r="U221" s="217"/>
      <c r="V221" s="172">
        <f t="shared" ref="V221:V226" si="20">O221+P221+Q221</f>
        <v>321339298</v>
      </c>
      <c r="W221" s="172">
        <f t="shared" si="19"/>
        <v>359900013.76000005</v>
      </c>
      <c r="X221" s="214"/>
      <c r="Y221" s="135">
        <v>2013</v>
      </c>
      <c r="Z221" s="232"/>
      <c r="AD221" s="233"/>
      <c r="AE221" s="233"/>
      <c r="AF221" s="233"/>
      <c r="AG221" s="233"/>
    </row>
    <row r="222" spans="2:33" s="213" customFormat="1" ht="48" customHeight="1" x14ac:dyDescent="0.25">
      <c r="B222" s="82" t="s">
        <v>856</v>
      </c>
      <c r="C222" s="82" t="s">
        <v>2</v>
      </c>
      <c r="D222" s="82" t="s">
        <v>295</v>
      </c>
      <c r="E222" s="82" t="s">
        <v>296</v>
      </c>
      <c r="F222" s="82" t="s">
        <v>296</v>
      </c>
      <c r="G222" s="82" t="s">
        <v>582</v>
      </c>
      <c r="H222" s="82" t="s">
        <v>3</v>
      </c>
      <c r="I222" s="131">
        <v>0</v>
      </c>
      <c r="J222" s="132" t="s">
        <v>1053</v>
      </c>
      <c r="K222" s="132" t="s">
        <v>583</v>
      </c>
      <c r="L222" s="214"/>
      <c r="M222" s="146" t="s">
        <v>322</v>
      </c>
      <c r="N222" s="214"/>
      <c r="O222" s="172">
        <v>7500000</v>
      </c>
      <c r="P222" s="172">
        <v>7500000</v>
      </c>
      <c r="Q222" s="172">
        <v>7500000</v>
      </c>
      <c r="R222" s="172"/>
      <c r="S222" s="172"/>
      <c r="T222" s="172"/>
      <c r="U222" s="217"/>
      <c r="V222" s="172">
        <f t="shared" si="20"/>
        <v>22500000</v>
      </c>
      <c r="W222" s="172">
        <f t="shared" si="19"/>
        <v>25200000.000000004</v>
      </c>
      <c r="X222" s="214"/>
      <c r="Y222" s="135">
        <v>2013</v>
      </c>
      <c r="Z222" s="232"/>
      <c r="AD222" s="233"/>
      <c r="AE222" s="233"/>
      <c r="AF222" s="233"/>
      <c r="AG222" s="233"/>
    </row>
    <row r="223" spans="2:33" s="213" customFormat="1" ht="48" customHeight="1" x14ac:dyDescent="0.25">
      <c r="B223" s="82" t="s">
        <v>857</v>
      </c>
      <c r="C223" s="82" t="s">
        <v>2</v>
      </c>
      <c r="D223" s="82" t="s">
        <v>979</v>
      </c>
      <c r="E223" s="82" t="s">
        <v>980</v>
      </c>
      <c r="F223" s="82" t="s">
        <v>981</v>
      </c>
      <c r="G223" s="82" t="s">
        <v>584</v>
      </c>
      <c r="H223" s="82" t="s">
        <v>3</v>
      </c>
      <c r="I223" s="131">
        <v>0</v>
      </c>
      <c r="J223" s="132" t="s">
        <v>1053</v>
      </c>
      <c r="K223" s="132" t="s">
        <v>583</v>
      </c>
      <c r="L223" s="214"/>
      <c r="M223" s="146" t="s">
        <v>322</v>
      </c>
      <c r="N223" s="214"/>
      <c r="O223" s="172">
        <v>1175229</v>
      </c>
      <c r="P223" s="172">
        <v>1175229</v>
      </c>
      <c r="Q223" s="172">
        <v>1175229</v>
      </c>
      <c r="R223" s="172"/>
      <c r="S223" s="172"/>
      <c r="T223" s="172"/>
      <c r="U223" s="217"/>
      <c r="V223" s="172">
        <f t="shared" si="20"/>
        <v>3525687</v>
      </c>
      <c r="W223" s="172">
        <f t="shared" si="19"/>
        <v>3948769.4400000004</v>
      </c>
      <c r="X223" s="214"/>
      <c r="Y223" s="135">
        <v>2013</v>
      </c>
      <c r="Z223" s="232"/>
      <c r="AD223" s="233"/>
      <c r="AE223" s="233"/>
      <c r="AF223" s="233"/>
      <c r="AG223" s="233"/>
    </row>
    <row r="224" spans="2:33" s="213" customFormat="1" ht="48" customHeight="1" x14ac:dyDescent="0.25">
      <c r="B224" s="82" t="s">
        <v>858</v>
      </c>
      <c r="C224" s="82" t="s">
        <v>2</v>
      </c>
      <c r="D224" s="82" t="s">
        <v>585</v>
      </c>
      <c r="E224" s="82" t="s">
        <v>586</v>
      </c>
      <c r="F224" s="82" t="s">
        <v>587</v>
      </c>
      <c r="G224" s="82" t="s">
        <v>588</v>
      </c>
      <c r="H224" s="82" t="s">
        <v>3</v>
      </c>
      <c r="I224" s="131">
        <v>0</v>
      </c>
      <c r="J224" s="132" t="s">
        <v>1039</v>
      </c>
      <c r="K224" s="132" t="s">
        <v>589</v>
      </c>
      <c r="L224" s="214"/>
      <c r="M224" s="146" t="s">
        <v>322</v>
      </c>
      <c r="N224" s="214"/>
      <c r="O224" s="172">
        <v>2500000</v>
      </c>
      <c r="P224" s="172">
        <v>2000000</v>
      </c>
      <c r="Q224" s="172"/>
      <c r="R224" s="172"/>
      <c r="S224" s="172"/>
      <c r="T224" s="172"/>
      <c r="U224" s="217"/>
      <c r="V224" s="172">
        <f t="shared" si="20"/>
        <v>4500000</v>
      </c>
      <c r="W224" s="172">
        <f t="shared" si="19"/>
        <v>5040000.0000000009</v>
      </c>
      <c r="X224" s="214"/>
      <c r="Y224" s="135">
        <v>2013</v>
      </c>
      <c r="Z224" s="232"/>
      <c r="AD224" s="233"/>
      <c r="AE224" s="233"/>
      <c r="AF224" s="233"/>
      <c r="AG224" s="233"/>
    </row>
    <row r="225" spans="2:33" s="213" customFormat="1" ht="48" customHeight="1" x14ac:dyDescent="0.25">
      <c r="B225" s="82" t="s">
        <v>859</v>
      </c>
      <c r="C225" s="82" t="s">
        <v>2</v>
      </c>
      <c r="D225" s="82" t="s">
        <v>590</v>
      </c>
      <c r="E225" s="82" t="s">
        <v>591</v>
      </c>
      <c r="F225" s="82" t="s">
        <v>592</v>
      </c>
      <c r="G225" s="82" t="s">
        <v>593</v>
      </c>
      <c r="H225" s="82" t="s">
        <v>3</v>
      </c>
      <c r="I225" s="131">
        <v>0</v>
      </c>
      <c r="J225" s="132" t="s">
        <v>1054</v>
      </c>
      <c r="K225" s="132" t="s">
        <v>589</v>
      </c>
      <c r="L225" s="214"/>
      <c r="M225" s="146" t="s">
        <v>322</v>
      </c>
      <c r="N225" s="214"/>
      <c r="O225" s="172">
        <v>1500000</v>
      </c>
      <c r="P225" s="172">
        <v>1500000</v>
      </c>
      <c r="Q225" s="172"/>
      <c r="R225" s="172"/>
      <c r="S225" s="172"/>
      <c r="T225" s="172"/>
      <c r="U225" s="217"/>
      <c r="V225" s="172">
        <f t="shared" si="20"/>
        <v>3000000</v>
      </c>
      <c r="W225" s="172">
        <f t="shared" si="19"/>
        <v>3360000.0000000005</v>
      </c>
      <c r="X225" s="214"/>
      <c r="Y225" s="135">
        <v>2013</v>
      </c>
      <c r="Z225" s="232"/>
      <c r="AD225" s="233"/>
      <c r="AE225" s="233"/>
      <c r="AF225" s="233"/>
      <c r="AG225" s="233"/>
    </row>
    <row r="226" spans="2:33" s="213" customFormat="1" ht="48" customHeight="1" x14ac:dyDescent="0.25">
      <c r="B226" s="82" t="s">
        <v>860</v>
      </c>
      <c r="C226" s="82" t="s">
        <v>2</v>
      </c>
      <c r="D226" s="82" t="s">
        <v>590</v>
      </c>
      <c r="E226" s="82" t="s">
        <v>591</v>
      </c>
      <c r="F226" s="82" t="s">
        <v>592</v>
      </c>
      <c r="G226" s="82" t="s">
        <v>594</v>
      </c>
      <c r="H226" s="82" t="s">
        <v>3</v>
      </c>
      <c r="I226" s="131">
        <v>0</v>
      </c>
      <c r="J226" s="132" t="s">
        <v>1055</v>
      </c>
      <c r="K226" s="132" t="s">
        <v>589</v>
      </c>
      <c r="L226" s="214"/>
      <c r="M226" s="146" t="s">
        <v>322</v>
      </c>
      <c r="N226" s="214"/>
      <c r="O226" s="172">
        <v>1500000</v>
      </c>
      <c r="P226" s="172">
        <v>1500000</v>
      </c>
      <c r="Q226" s="172"/>
      <c r="R226" s="172"/>
      <c r="S226" s="172"/>
      <c r="T226" s="172"/>
      <c r="U226" s="217"/>
      <c r="V226" s="172">
        <f t="shared" si="20"/>
        <v>3000000</v>
      </c>
      <c r="W226" s="172">
        <f t="shared" si="19"/>
        <v>3360000.0000000005</v>
      </c>
      <c r="X226" s="214"/>
      <c r="Y226" s="135">
        <v>2013</v>
      </c>
      <c r="Z226" s="232"/>
      <c r="AD226" s="233"/>
      <c r="AE226" s="233"/>
      <c r="AF226" s="233"/>
      <c r="AG226" s="233"/>
    </row>
    <row r="227" spans="2:33" s="213" customFormat="1" ht="48" customHeight="1" x14ac:dyDescent="0.25">
      <c r="B227" s="82" t="s">
        <v>861</v>
      </c>
      <c r="C227" s="82" t="s">
        <v>2</v>
      </c>
      <c r="D227" s="82" t="s">
        <v>595</v>
      </c>
      <c r="E227" s="82" t="s">
        <v>596</v>
      </c>
      <c r="F227" s="82" t="s">
        <v>597</v>
      </c>
      <c r="G227" s="82" t="s">
        <v>598</v>
      </c>
      <c r="H227" s="82" t="s">
        <v>3</v>
      </c>
      <c r="I227" s="131">
        <v>100</v>
      </c>
      <c r="J227" s="132" t="s">
        <v>1044</v>
      </c>
      <c r="K227" s="55" t="s">
        <v>41</v>
      </c>
      <c r="L227" s="214"/>
      <c r="M227" s="146" t="s">
        <v>333</v>
      </c>
      <c r="N227" s="214"/>
      <c r="O227" s="172">
        <v>910000</v>
      </c>
      <c r="P227" s="172">
        <v>2730000</v>
      </c>
      <c r="Q227" s="172"/>
      <c r="R227" s="172"/>
      <c r="S227" s="172"/>
      <c r="T227" s="172"/>
      <c r="U227" s="217"/>
      <c r="V227" s="172">
        <v>3640000</v>
      </c>
      <c r="W227" s="172">
        <f t="shared" si="19"/>
        <v>4076800.0000000005</v>
      </c>
      <c r="X227" s="214"/>
      <c r="Y227" s="135">
        <v>2013</v>
      </c>
      <c r="Z227" s="232"/>
      <c r="AD227" s="233"/>
      <c r="AE227" s="233"/>
      <c r="AF227" s="233"/>
      <c r="AG227" s="233"/>
    </row>
    <row r="228" spans="2:33" s="213" customFormat="1" ht="48" customHeight="1" x14ac:dyDescent="0.25">
      <c r="B228" s="82" t="s">
        <v>862</v>
      </c>
      <c r="C228" s="82" t="s">
        <v>2</v>
      </c>
      <c r="D228" s="82" t="s">
        <v>595</v>
      </c>
      <c r="E228" s="82" t="s">
        <v>596</v>
      </c>
      <c r="F228" s="82" t="s">
        <v>597</v>
      </c>
      <c r="G228" s="82" t="s">
        <v>599</v>
      </c>
      <c r="H228" s="82" t="s">
        <v>3</v>
      </c>
      <c r="I228" s="131">
        <v>100</v>
      </c>
      <c r="J228" s="132" t="s">
        <v>1044</v>
      </c>
      <c r="K228" s="132" t="s">
        <v>600</v>
      </c>
      <c r="L228" s="214"/>
      <c r="M228" s="146" t="s">
        <v>333</v>
      </c>
      <c r="N228" s="214"/>
      <c r="O228" s="172">
        <v>490000</v>
      </c>
      <c r="P228" s="172">
        <v>1470000</v>
      </c>
      <c r="Q228" s="172"/>
      <c r="R228" s="172"/>
      <c r="S228" s="172"/>
      <c r="T228" s="172"/>
      <c r="U228" s="217"/>
      <c r="V228" s="172">
        <v>1960000</v>
      </c>
      <c r="W228" s="172">
        <f t="shared" si="19"/>
        <v>2195200</v>
      </c>
      <c r="X228" s="214"/>
      <c r="Y228" s="135">
        <v>2013</v>
      </c>
      <c r="Z228" s="232"/>
      <c r="AD228" s="233"/>
      <c r="AE228" s="233"/>
      <c r="AF228" s="233"/>
      <c r="AG228" s="233"/>
    </row>
    <row r="229" spans="2:33" s="213" customFormat="1" ht="48" customHeight="1" x14ac:dyDescent="0.25">
      <c r="B229" s="82" t="s">
        <v>863</v>
      </c>
      <c r="C229" s="82" t="s">
        <v>2</v>
      </c>
      <c r="D229" s="82" t="s">
        <v>601</v>
      </c>
      <c r="E229" s="82" t="s">
        <v>602</v>
      </c>
      <c r="F229" s="82" t="s">
        <v>602</v>
      </c>
      <c r="G229" s="82" t="s">
        <v>603</v>
      </c>
      <c r="H229" s="82" t="s">
        <v>3</v>
      </c>
      <c r="I229" s="131">
        <v>100</v>
      </c>
      <c r="J229" s="132" t="s">
        <v>1044</v>
      </c>
      <c r="K229" s="55" t="s">
        <v>41</v>
      </c>
      <c r="L229" s="214"/>
      <c r="M229" s="146" t="s">
        <v>333</v>
      </c>
      <c r="N229" s="214"/>
      <c r="O229" s="172">
        <v>592515</v>
      </c>
      <c r="P229" s="172">
        <v>1777545</v>
      </c>
      <c r="Q229" s="172"/>
      <c r="R229" s="172"/>
      <c r="S229" s="172"/>
      <c r="T229" s="172"/>
      <c r="U229" s="217"/>
      <c r="V229" s="172">
        <v>2370060</v>
      </c>
      <c r="W229" s="172">
        <f t="shared" si="19"/>
        <v>2654467.2000000002</v>
      </c>
      <c r="X229" s="214"/>
      <c r="Y229" s="135">
        <v>2013</v>
      </c>
      <c r="Z229" s="232"/>
      <c r="AD229" s="233"/>
      <c r="AE229" s="233"/>
      <c r="AF229" s="233"/>
      <c r="AG229" s="233"/>
    </row>
    <row r="230" spans="2:33" s="213" customFormat="1" ht="48" customHeight="1" x14ac:dyDescent="0.25">
      <c r="B230" s="82" t="s">
        <v>864</v>
      </c>
      <c r="C230" s="82" t="s">
        <v>2</v>
      </c>
      <c r="D230" s="82" t="s">
        <v>601</v>
      </c>
      <c r="E230" s="82" t="s">
        <v>602</v>
      </c>
      <c r="F230" s="82" t="s">
        <v>602</v>
      </c>
      <c r="G230" s="82" t="s">
        <v>604</v>
      </c>
      <c r="H230" s="82" t="s">
        <v>3</v>
      </c>
      <c r="I230" s="131">
        <v>100</v>
      </c>
      <c r="J230" s="132" t="s">
        <v>1044</v>
      </c>
      <c r="K230" s="132" t="s">
        <v>600</v>
      </c>
      <c r="L230" s="214"/>
      <c r="M230" s="146" t="s">
        <v>333</v>
      </c>
      <c r="N230" s="214"/>
      <c r="O230" s="172">
        <v>319646.25</v>
      </c>
      <c r="P230" s="172">
        <v>958938.75</v>
      </c>
      <c r="Q230" s="172"/>
      <c r="R230" s="172"/>
      <c r="S230" s="172"/>
      <c r="T230" s="172"/>
      <c r="U230" s="217"/>
      <c r="V230" s="172">
        <v>1278585</v>
      </c>
      <c r="W230" s="172">
        <f t="shared" si="19"/>
        <v>1432015.2000000002</v>
      </c>
      <c r="X230" s="214"/>
      <c r="Y230" s="135">
        <v>2013</v>
      </c>
      <c r="Z230" s="232"/>
      <c r="AD230" s="233"/>
      <c r="AE230" s="233"/>
      <c r="AF230" s="233"/>
      <c r="AG230" s="233"/>
    </row>
    <row r="231" spans="2:33" s="213" customFormat="1" ht="48" customHeight="1" x14ac:dyDescent="0.25">
      <c r="B231" s="82" t="s">
        <v>865</v>
      </c>
      <c r="C231" s="82" t="s">
        <v>2</v>
      </c>
      <c r="D231" s="82" t="s">
        <v>605</v>
      </c>
      <c r="E231" s="82" t="s">
        <v>606</v>
      </c>
      <c r="F231" s="82" t="s">
        <v>607</v>
      </c>
      <c r="G231" s="82" t="s">
        <v>608</v>
      </c>
      <c r="H231" s="82" t="s">
        <v>3</v>
      </c>
      <c r="I231" s="131">
        <v>0</v>
      </c>
      <c r="J231" s="132" t="s">
        <v>1044</v>
      </c>
      <c r="K231" s="132" t="s">
        <v>609</v>
      </c>
      <c r="L231" s="214"/>
      <c r="M231" s="146" t="s">
        <v>333</v>
      </c>
      <c r="N231" s="214"/>
      <c r="O231" s="172">
        <v>19305000</v>
      </c>
      <c r="P231" s="172">
        <v>22200750</v>
      </c>
      <c r="Q231" s="172"/>
      <c r="R231" s="172"/>
      <c r="S231" s="172"/>
      <c r="T231" s="172"/>
      <c r="U231" s="217"/>
      <c r="V231" s="172">
        <v>41505750</v>
      </c>
      <c r="W231" s="172">
        <f t="shared" si="19"/>
        <v>46486440.000000007</v>
      </c>
      <c r="X231" s="214"/>
      <c r="Y231" s="135">
        <v>2013</v>
      </c>
      <c r="Z231" s="232"/>
      <c r="AD231" s="233"/>
      <c r="AE231" s="233"/>
      <c r="AF231" s="233"/>
      <c r="AG231" s="233"/>
    </row>
    <row r="232" spans="2:33" s="213" customFormat="1" ht="48" customHeight="1" x14ac:dyDescent="0.25">
      <c r="B232" s="82" t="s">
        <v>866</v>
      </c>
      <c r="C232" s="82" t="s">
        <v>2</v>
      </c>
      <c r="D232" s="82" t="s">
        <v>610</v>
      </c>
      <c r="E232" s="82" t="s">
        <v>611</v>
      </c>
      <c r="F232" s="82" t="s">
        <v>612</v>
      </c>
      <c r="G232" s="82" t="s">
        <v>613</v>
      </c>
      <c r="H232" s="82" t="s">
        <v>95</v>
      </c>
      <c r="I232" s="131">
        <v>0</v>
      </c>
      <c r="J232" s="132" t="s">
        <v>1038</v>
      </c>
      <c r="K232" s="132" t="s">
        <v>485</v>
      </c>
      <c r="L232" s="214"/>
      <c r="M232" s="146" t="s">
        <v>333</v>
      </c>
      <c r="N232" s="214"/>
      <c r="O232" s="172">
        <v>1944445</v>
      </c>
      <c r="P232" s="172">
        <v>4666667</v>
      </c>
      <c r="Q232" s="172">
        <v>4666667</v>
      </c>
      <c r="R232" s="172">
        <v>2722221</v>
      </c>
      <c r="S232" s="172"/>
      <c r="T232" s="172"/>
      <c r="U232" s="217"/>
      <c r="V232" s="172">
        <v>14000000</v>
      </c>
      <c r="W232" s="172">
        <f t="shared" si="19"/>
        <v>15680000.000000002</v>
      </c>
      <c r="X232" s="214"/>
      <c r="Y232" s="135">
        <v>2013</v>
      </c>
      <c r="Z232" s="232"/>
      <c r="AD232" s="233"/>
      <c r="AE232" s="233"/>
      <c r="AF232" s="233"/>
      <c r="AG232" s="233"/>
    </row>
    <row r="233" spans="2:33" s="213" customFormat="1" ht="48" customHeight="1" x14ac:dyDescent="0.25">
      <c r="B233" s="82" t="s">
        <v>867</v>
      </c>
      <c r="C233" s="82" t="s">
        <v>2</v>
      </c>
      <c r="D233" s="82" t="s">
        <v>614</v>
      </c>
      <c r="E233" s="82" t="s">
        <v>615</v>
      </c>
      <c r="F233" s="82" t="s">
        <v>616</v>
      </c>
      <c r="G233" s="82" t="s">
        <v>616</v>
      </c>
      <c r="H233" s="82" t="s">
        <v>617</v>
      </c>
      <c r="I233" s="131">
        <v>0</v>
      </c>
      <c r="J233" s="132" t="s">
        <v>1047</v>
      </c>
      <c r="K233" s="55" t="s">
        <v>41</v>
      </c>
      <c r="L233" s="214"/>
      <c r="M233" s="146" t="s">
        <v>334</v>
      </c>
      <c r="N233" s="214"/>
      <c r="O233" s="172">
        <v>440000</v>
      </c>
      <c r="P233" s="172">
        <v>1320000</v>
      </c>
      <c r="Q233" s="172">
        <v>1320000</v>
      </c>
      <c r="R233" s="172">
        <v>880000</v>
      </c>
      <c r="S233" s="172"/>
      <c r="T233" s="172"/>
      <c r="U233" s="217"/>
      <c r="V233" s="172">
        <v>3960000</v>
      </c>
      <c r="W233" s="172">
        <f t="shared" si="19"/>
        <v>4435200</v>
      </c>
      <c r="X233" s="214"/>
      <c r="Y233" s="135">
        <v>2013</v>
      </c>
      <c r="Z233" s="232"/>
      <c r="AD233" s="233"/>
      <c r="AE233" s="233"/>
      <c r="AF233" s="233"/>
      <c r="AG233" s="233"/>
    </row>
    <row r="234" spans="2:33" s="213" customFormat="1" ht="48" customHeight="1" x14ac:dyDescent="0.25">
      <c r="B234" s="82" t="s">
        <v>868</v>
      </c>
      <c r="C234" s="82" t="s">
        <v>2</v>
      </c>
      <c r="D234" s="82" t="s">
        <v>618</v>
      </c>
      <c r="E234" s="82" t="s">
        <v>619</v>
      </c>
      <c r="F234" s="82" t="s">
        <v>620</v>
      </c>
      <c r="G234" s="82" t="s">
        <v>620</v>
      </c>
      <c r="H234" s="82" t="s">
        <v>617</v>
      </c>
      <c r="I234" s="131">
        <v>0</v>
      </c>
      <c r="J234" s="132" t="s">
        <v>1047</v>
      </c>
      <c r="K234" s="55" t="s">
        <v>41</v>
      </c>
      <c r="L234" s="214"/>
      <c r="M234" s="146" t="s">
        <v>334</v>
      </c>
      <c r="N234" s="214"/>
      <c r="O234" s="172">
        <v>52000</v>
      </c>
      <c r="P234" s="172">
        <v>156000</v>
      </c>
      <c r="Q234" s="172">
        <v>156000</v>
      </c>
      <c r="R234" s="172">
        <v>104000</v>
      </c>
      <c r="S234" s="172"/>
      <c r="T234" s="172"/>
      <c r="U234" s="217"/>
      <c r="V234" s="172">
        <v>468000</v>
      </c>
      <c r="W234" s="172">
        <f t="shared" si="19"/>
        <v>524160.00000000006</v>
      </c>
      <c r="X234" s="214"/>
      <c r="Y234" s="135">
        <v>2013</v>
      </c>
      <c r="Z234" s="232"/>
      <c r="AD234" s="233"/>
      <c r="AE234" s="233"/>
      <c r="AF234" s="233"/>
      <c r="AG234" s="233"/>
    </row>
    <row r="235" spans="2:33" s="213" customFormat="1" ht="48" customHeight="1" x14ac:dyDescent="0.25">
      <c r="B235" s="82" t="s">
        <v>869</v>
      </c>
      <c r="C235" s="82" t="s">
        <v>2</v>
      </c>
      <c r="D235" s="82" t="s">
        <v>621</v>
      </c>
      <c r="E235" s="82" t="s">
        <v>622</v>
      </c>
      <c r="F235" s="82" t="s">
        <v>623</v>
      </c>
      <c r="G235" s="82" t="s">
        <v>624</v>
      </c>
      <c r="H235" s="82" t="s">
        <v>617</v>
      </c>
      <c r="I235" s="131">
        <v>0</v>
      </c>
      <c r="J235" s="132" t="s">
        <v>1047</v>
      </c>
      <c r="K235" s="55" t="s">
        <v>41</v>
      </c>
      <c r="L235" s="214"/>
      <c r="M235" s="146" t="s">
        <v>334</v>
      </c>
      <c r="N235" s="214"/>
      <c r="O235" s="172">
        <v>470400</v>
      </c>
      <c r="P235" s="172">
        <v>1411200</v>
      </c>
      <c r="Q235" s="172">
        <v>1411200</v>
      </c>
      <c r="R235" s="172">
        <v>940800</v>
      </c>
      <c r="S235" s="172"/>
      <c r="T235" s="172"/>
      <c r="U235" s="217"/>
      <c r="V235" s="172">
        <v>4233600</v>
      </c>
      <c r="W235" s="172">
        <f t="shared" si="19"/>
        <v>4741632</v>
      </c>
      <c r="X235" s="214"/>
      <c r="Y235" s="135">
        <v>2013</v>
      </c>
      <c r="Z235" s="232"/>
      <c r="AD235" s="233"/>
      <c r="AE235" s="233"/>
      <c r="AF235" s="233"/>
      <c r="AG235" s="233"/>
    </row>
    <row r="236" spans="2:33" s="213" customFormat="1" ht="48" customHeight="1" x14ac:dyDescent="0.25">
      <c r="B236" s="82" t="s">
        <v>870</v>
      </c>
      <c r="C236" s="82" t="s">
        <v>2</v>
      </c>
      <c r="D236" s="82" t="s">
        <v>621</v>
      </c>
      <c r="E236" s="82" t="s">
        <v>622</v>
      </c>
      <c r="F236" s="82" t="s">
        <v>623</v>
      </c>
      <c r="G236" s="82" t="s">
        <v>625</v>
      </c>
      <c r="H236" s="82" t="s">
        <v>617</v>
      </c>
      <c r="I236" s="131">
        <v>0</v>
      </c>
      <c r="J236" s="132" t="s">
        <v>1047</v>
      </c>
      <c r="K236" s="55" t="s">
        <v>41</v>
      </c>
      <c r="L236" s="214"/>
      <c r="M236" s="146" t="s">
        <v>334</v>
      </c>
      <c r="N236" s="214"/>
      <c r="O236" s="172">
        <v>126000</v>
      </c>
      <c r="P236" s="172">
        <v>378000</v>
      </c>
      <c r="Q236" s="172">
        <v>378000</v>
      </c>
      <c r="R236" s="172">
        <v>252000</v>
      </c>
      <c r="S236" s="172"/>
      <c r="T236" s="172"/>
      <c r="U236" s="217"/>
      <c r="V236" s="172">
        <v>1134000</v>
      </c>
      <c r="W236" s="172">
        <f t="shared" si="19"/>
        <v>1270080.0000000002</v>
      </c>
      <c r="X236" s="214"/>
      <c r="Y236" s="135">
        <v>2013</v>
      </c>
      <c r="Z236" s="232"/>
      <c r="AD236" s="233"/>
      <c r="AE236" s="233"/>
      <c r="AF236" s="233"/>
      <c r="AG236" s="233"/>
    </row>
    <row r="237" spans="2:33" s="213" customFormat="1" ht="48" customHeight="1" x14ac:dyDescent="0.25">
      <c r="B237" s="82" t="s">
        <v>871</v>
      </c>
      <c r="C237" s="82" t="s">
        <v>2</v>
      </c>
      <c r="D237" s="283" t="s">
        <v>389</v>
      </c>
      <c r="E237" s="283" t="s">
        <v>384</v>
      </c>
      <c r="F237" s="283" t="s">
        <v>384</v>
      </c>
      <c r="G237" s="82" t="s">
        <v>626</v>
      </c>
      <c r="H237" s="82" t="s">
        <v>3</v>
      </c>
      <c r="I237" s="131">
        <v>0</v>
      </c>
      <c r="J237" s="132" t="s">
        <v>402</v>
      </c>
      <c r="K237" s="55" t="s">
        <v>41</v>
      </c>
      <c r="L237" s="214"/>
      <c r="M237" s="146" t="s">
        <v>334</v>
      </c>
      <c r="N237" s="214"/>
      <c r="O237" s="172">
        <v>4729900</v>
      </c>
      <c r="P237" s="172">
        <v>28196700</v>
      </c>
      <c r="Q237" s="172">
        <v>28196700</v>
      </c>
      <c r="R237" s="172">
        <v>28196700</v>
      </c>
      <c r="S237" s="172"/>
      <c r="T237" s="172"/>
      <c r="U237" s="217"/>
      <c r="V237" s="172">
        <f>O237+P237+Q237+R237</f>
        <v>89320000</v>
      </c>
      <c r="W237" s="172">
        <f t="shared" si="19"/>
        <v>100038400.00000001</v>
      </c>
      <c r="X237" s="214"/>
      <c r="Y237" s="135">
        <v>2013</v>
      </c>
      <c r="Z237" s="232"/>
      <c r="AD237" s="233"/>
      <c r="AE237" s="233"/>
      <c r="AF237" s="233"/>
      <c r="AG237" s="233"/>
    </row>
    <row r="238" spans="2:33" s="213" customFormat="1" ht="48" customHeight="1" x14ac:dyDescent="0.25">
      <c r="B238" s="82" t="s">
        <v>872</v>
      </c>
      <c r="C238" s="82" t="s">
        <v>2</v>
      </c>
      <c r="D238" s="283" t="s">
        <v>389</v>
      </c>
      <c r="E238" s="283" t="s">
        <v>384</v>
      </c>
      <c r="F238" s="283" t="s">
        <v>384</v>
      </c>
      <c r="G238" s="82" t="s">
        <v>627</v>
      </c>
      <c r="H238" s="82" t="s">
        <v>3</v>
      </c>
      <c r="I238" s="131">
        <v>0</v>
      </c>
      <c r="J238" s="132" t="s">
        <v>402</v>
      </c>
      <c r="K238" s="132" t="s">
        <v>469</v>
      </c>
      <c r="L238" s="214"/>
      <c r="M238" s="146" t="s">
        <v>334</v>
      </c>
      <c r="N238" s="214"/>
      <c r="O238" s="172">
        <v>3227700</v>
      </c>
      <c r="P238" s="172">
        <v>19224100</v>
      </c>
      <c r="Q238" s="172">
        <v>19224100</v>
      </c>
      <c r="R238" s="172">
        <v>19224100</v>
      </c>
      <c r="S238" s="172"/>
      <c r="T238" s="172"/>
      <c r="U238" s="217"/>
      <c r="V238" s="172">
        <f>O238+P238+Q238+R238</f>
        <v>60900000</v>
      </c>
      <c r="W238" s="172">
        <f t="shared" si="19"/>
        <v>68208000</v>
      </c>
      <c r="X238" s="214"/>
      <c r="Y238" s="135">
        <v>2013</v>
      </c>
      <c r="Z238" s="232"/>
      <c r="AD238" s="233"/>
      <c r="AE238" s="233"/>
      <c r="AF238" s="233"/>
      <c r="AG238" s="233"/>
    </row>
    <row r="239" spans="2:33" s="213" customFormat="1" ht="48" customHeight="1" x14ac:dyDescent="0.25">
      <c r="B239" s="82" t="s">
        <v>873</v>
      </c>
      <c r="C239" s="82" t="s">
        <v>2</v>
      </c>
      <c r="D239" s="82" t="s">
        <v>539</v>
      </c>
      <c r="E239" s="82" t="s">
        <v>540</v>
      </c>
      <c r="F239" s="82" t="s">
        <v>540</v>
      </c>
      <c r="G239" s="82" t="s">
        <v>628</v>
      </c>
      <c r="H239" s="82" t="s">
        <v>95</v>
      </c>
      <c r="I239" s="131">
        <v>0</v>
      </c>
      <c r="J239" s="132" t="s">
        <v>1025</v>
      </c>
      <c r="K239" s="132" t="s">
        <v>469</v>
      </c>
      <c r="L239" s="214"/>
      <c r="M239" s="146" t="s">
        <v>334</v>
      </c>
      <c r="N239" s="214"/>
      <c r="O239" s="172">
        <v>6356035.2000000002</v>
      </c>
      <c r="P239" s="172">
        <v>38136211.200000003</v>
      </c>
      <c r="Q239" s="172">
        <v>38136211.200000003</v>
      </c>
      <c r="R239" s="172">
        <v>25424140.800000001</v>
      </c>
      <c r="S239" s="172"/>
      <c r="T239" s="172"/>
      <c r="U239" s="217"/>
      <c r="V239" s="172">
        <v>0</v>
      </c>
      <c r="W239" s="172">
        <f t="shared" si="19"/>
        <v>0</v>
      </c>
      <c r="X239" s="214"/>
      <c r="Y239" s="135">
        <v>2013</v>
      </c>
      <c r="Z239" s="172" t="s">
        <v>996</v>
      </c>
      <c r="AD239" s="233"/>
      <c r="AE239" s="233"/>
      <c r="AF239" s="233"/>
      <c r="AG239" s="233"/>
    </row>
    <row r="240" spans="2:33" s="213" customFormat="1" ht="48" customHeight="1" x14ac:dyDescent="0.25">
      <c r="B240" s="82" t="s">
        <v>874</v>
      </c>
      <c r="C240" s="82" t="s">
        <v>2</v>
      </c>
      <c r="D240" s="82" t="s">
        <v>295</v>
      </c>
      <c r="E240" s="82" t="s">
        <v>296</v>
      </c>
      <c r="F240" s="82" t="s">
        <v>296</v>
      </c>
      <c r="G240" s="82" t="s">
        <v>629</v>
      </c>
      <c r="H240" s="82" t="s">
        <v>95</v>
      </c>
      <c r="I240" s="131">
        <v>0</v>
      </c>
      <c r="J240" s="132" t="s">
        <v>1025</v>
      </c>
      <c r="K240" s="132" t="s">
        <v>630</v>
      </c>
      <c r="L240" s="214"/>
      <c r="M240" s="146" t="s">
        <v>334</v>
      </c>
      <c r="N240" s="214"/>
      <c r="O240" s="172">
        <v>131250</v>
      </c>
      <c r="P240" s="172">
        <v>590625</v>
      </c>
      <c r="Q240" s="172">
        <v>590625</v>
      </c>
      <c r="R240" s="172"/>
      <c r="S240" s="172"/>
      <c r="T240" s="172"/>
      <c r="U240" s="217"/>
      <c r="V240" s="172">
        <f>O240+P240+Q240+R240+S240</f>
        <v>1312500</v>
      </c>
      <c r="W240" s="172">
        <f t="shared" si="19"/>
        <v>1470000.0000000002</v>
      </c>
      <c r="X240" s="214"/>
      <c r="Y240" s="135">
        <v>2013</v>
      </c>
      <c r="Z240" s="232"/>
      <c r="AD240" s="233"/>
      <c r="AE240" s="233"/>
      <c r="AF240" s="233"/>
      <c r="AG240" s="233"/>
    </row>
    <row r="241" spans="2:33" s="213" customFormat="1" ht="48" customHeight="1" x14ac:dyDescent="0.25">
      <c r="B241" s="82" t="s">
        <v>875</v>
      </c>
      <c r="C241" s="82" t="s">
        <v>2</v>
      </c>
      <c r="D241" s="82" t="s">
        <v>404</v>
      </c>
      <c r="E241" s="82" t="s">
        <v>405</v>
      </c>
      <c r="F241" s="82" t="s">
        <v>405</v>
      </c>
      <c r="G241" s="82" t="s">
        <v>631</v>
      </c>
      <c r="H241" s="82" t="s">
        <v>95</v>
      </c>
      <c r="I241" s="131">
        <v>0</v>
      </c>
      <c r="J241" s="132" t="s">
        <v>1029</v>
      </c>
      <c r="K241" s="132" t="s">
        <v>632</v>
      </c>
      <c r="L241" s="214"/>
      <c r="M241" s="146" t="s">
        <v>334</v>
      </c>
      <c r="N241" s="214"/>
      <c r="O241" s="172">
        <v>1400000</v>
      </c>
      <c r="P241" s="172">
        <v>8400000</v>
      </c>
      <c r="Q241" s="172"/>
      <c r="R241" s="172"/>
      <c r="S241" s="172"/>
      <c r="T241" s="172"/>
      <c r="U241" s="217"/>
      <c r="V241" s="172">
        <f>O241+P241+Q241+R241+S241</f>
        <v>9800000</v>
      </c>
      <c r="W241" s="172">
        <f t="shared" si="19"/>
        <v>10976000.000000002</v>
      </c>
      <c r="X241" s="214"/>
      <c r="Y241" s="135">
        <v>2013</v>
      </c>
      <c r="Z241" s="232"/>
      <c r="AD241" s="233"/>
      <c r="AE241" s="233"/>
      <c r="AF241" s="233"/>
      <c r="AG241" s="233"/>
    </row>
    <row r="242" spans="2:33" s="213" customFormat="1" ht="48" customHeight="1" x14ac:dyDescent="0.25">
      <c r="B242" s="82" t="s">
        <v>876</v>
      </c>
      <c r="C242" s="82" t="s">
        <v>2</v>
      </c>
      <c r="D242" s="82" t="s">
        <v>633</v>
      </c>
      <c r="E242" s="82" t="s">
        <v>634</v>
      </c>
      <c r="F242" s="82" t="s">
        <v>635</v>
      </c>
      <c r="G242" s="82" t="s">
        <v>636</v>
      </c>
      <c r="H242" s="82" t="s">
        <v>95</v>
      </c>
      <c r="I242" s="131">
        <v>0</v>
      </c>
      <c r="J242" s="132" t="s">
        <v>1028</v>
      </c>
      <c r="K242" s="55" t="s">
        <v>41</v>
      </c>
      <c r="L242" s="214"/>
      <c r="M242" s="146" t="s">
        <v>334</v>
      </c>
      <c r="N242" s="214"/>
      <c r="O242" s="172">
        <v>177412</v>
      </c>
      <c r="P242" s="172">
        <v>354822.1</v>
      </c>
      <c r="Q242" s="172"/>
      <c r="R242" s="172"/>
      <c r="S242" s="172"/>
      <c r="T242" s="172"/>
      <c r="U242" s="217"/>
      <c r="V242" s="172">
        <f>P242+Q242</f>
        <v>354822.1</v>
      </c>
      <c r="W242" s="172">
        <f t="shared" si="19"/>
        <v>397400.75200000004</v>
      </c>
      <c r="X242" s="214"/>
      <c r="Y242" s="135">
        <v>2013</v>
      </c>
      <c r="Z242" s="232"/>
      <c r="AD242" s="233"/>
      <c r="AE242" s="233"/>
      <c r="AF242" s="233"/>
      <c r="AG242" s="233"/>
    </row>
    <row r="243" spans="2:33" s="213" customFormat="1" ht="48" customHeight="1" x14ac:dyDescent="0.25">
      <c r="B243" s="82" t="s">
        <v>877</v>
      </c>
      <c r="C243" s="82" t="s">
        <v>2</v>
      </c>
      <c r="D243" s="82" t="s">
        <v>935</v>
      </c>
      <c r="E243" s="82" t="s">
        <v>413</v>
      </c>
      <c r="F243" s="82" t="s">
        <v>413</v>
      </c>
      <c r="G243" s="82" t="s">
        <v>441</v>
      </c>
      <c r="H243" s="82" t="s">
        <v>95</v>
      </c>
      <c r="I243" s="131">
        <v>0</v>
      </c>
      <c r="J243" s="132" t="s">
        <v>402</v>
      </c>
      <c r="K243" s="132" t="s">
        <v>442</v>
      </c>
      <c r="L243" s="214"/>
      <c r="M243" s="146" t="s">
        <v>27</v>
      </c>
      <c r="N243" s="217"/>
      <c r="O243" s="172">
        <v>2057000</v>
      </c>
      <c r="P243" s="172"/>
      <c r="Q243" s="172"/>
      <c r="R243" s="172"/>
      <c r="S243" s="172"/>
      <c r="T243" s="172"/>
      <c r="U243" s="217"/>
      <c r="V243" s="172">
        <v>2400000</v>
      </c>
      <c r="W243" s="172">
        <f t="shared" si="19"/>
        <v>2688000.0000000005</v>
      </c>
      <c r="X243" s="214"/>
      <c r="Y243" s="135">
        <v>2012</v>
      </c>
      <c r="Z243" s="232"/>
      <c r="AD243" s="233"/>
      <c r="AE243" s="233"/>
      <c r="AF243" s="233"/>
      <c r="AG243" s="233"/>
    </row>
    <row r="244" spans="2:33" s="213" customFormat="1" ht="48" customHeight="1" x14ac:dyDescent="0.25">
      <c r="B244" s="82" t="s">
        <v>878</v>
      </c>
      <c r="C244" s="82" t="s">
        <v>2</v>
      </c>
      <c r="D244" s="82" t="s">
        <v>295</v>
      </c>
      <c r="E244" s="82" t="s">
        <v>296</v>
      </c>
      <c r="F244" s="82" t="s">
        <v>296</v>
      </c>
      <c r="G244" s="82" t="s">
        <v>637</v>
      </c>
      <c r="H244" s="82" t="s">
        <v>95</v>
      </c>
      <c r="I244" s="131">
        <v>0</v>
      </c>
      <c r="J244" s="132" t="s">
        <v>1056</v>
      </c>
      <c r="K244" s="132" t="s">
        <v>581</v>
      </c>
      <c r="L244" s="218"/>
      <c r="M244" s="146" t="s">
        <v>638</v>
      </c>
      <c r="N244" s="223"/>
      <c r="O244" s="172"/>
      <c r="P244" s="172">
        <v>262550000</v>
      </c>
      <c r="Q244" s="172">
        <v>262550000</v>
      </c>
      <c r="R244" s="172"/>
      <c r="S244" s="172"/>
      <c r="T244" s="172"/>
      <c r="U244" s="217"/>
      <c r="V244" s="172">
        <v>525100000</v>
      </c>
      <c r="W244" s="172">
        <f t="shared" si="19"/>
        <v>588112000</v>
      </c>
      <c r="X244" s="223"/>
      <c r="Y244" s="135">
        <v>2014</v>
      </c>
      <c r="Z244" s="232"/>
      <c r="AD244" s="233"/>
      <c r="AE244" s="233"/>
      <c r="AF244" s="233"/>
      <c r="AG244" s="233"/>
    </row>
    <row r="245" spans="2:33" s="213" customFormat="1" ht="48" customHeight="1" x14ac:dyDescent="0.25">
      <c r="B245" s="82" t="s">
        <v>879</v>
      </c>
      <c r="C245" s="82" t="s">
        <v>2</v>
      </c>
      <c r="D245" s="82" t="s">
        <v>389</v>
      </c>
      <c r="E245" s="82" t="s">
        <v>384</v>
      </c>
      <c r="F245" s="82" t="s">
        <v>384</v>
      </c>
      <c r="G245" s="82" t="s">
        <v>639</v>
      </c>
      <c r="H245" s="82" t="s">
        <v>95</v>
      </c>
      <c r="I245" s="131">
        <v>0</v>
      </c>
      <c r="J245" s="132" t="s">
        <v>1036</v>
      </c>
      <c r="K245" s="132" t="s">
        <v>640</v>
      </c>
      <c r="L245" s="224"/>
      <c r="M245" s="146" t="s">
        <v>638</v>
      </c>
      <c r="N245" s="223"/>
      <c r="O245" s="172"/>
      <c r="P245" s="172">
        <v>2000000</v>
      </c>
      <c r="Q245" s="172">
        <v>2000000</v>
      </c>
      <c r="R245" s="172">
        <v>2000000</v>
      </c>
      <c r="S245" s="172">
        <v>2000000</v>
      </c>
      <c r="T245" s="172">
        <v>2000000</v>
      </c>
      <c r="U245" s="217"/>
      <c r="V245" s="172">
        <v>10000000</v>
      </c>
      <c r="W245" s="172">
        <f t="shared" si="19"/>
        <v>11200000.000000002</v>
      </c>
      <c r="X245" s="223"/>
      <c r="Y245" s="135">
        <v>2014</v>
      </c>
      <c r="Z245" s="232"/>
      <c r="AD245" s="233"/>
      <c r="AE245" s="233"/>
      <c r="AF245" s="233"/>
      <c r="AG245" s="233"/>
    </row>
    <row r="246" spans="2:33" s="213" customFormat="1" ht="48" customHeight="1" x14ac:dyDescent="0.25">
      <c r="B246" s="82" t="s">
        <v>880</v>
      </c>
      <c r="C246" s="82" t="s">
        <v>2</v>
      </c>
      <c r="D246" s="82" t="s">
        <v>295</v>
      </c>
      <c r="E246" s="82" t="s">
        <v>296</v>
      </c>
      <c r="F246" s="82" t="s">
        <v>296</v>
      </c>
      <c r="G246" s="82" t="s">
        <v>641</v>
      </c>
      <c r="H246" s="82" t="s">
        <v>95</v>
      </c>
      <c r="I246" s="131">
        <v>0</v>
      </c>
      <c r="J246" s="132" t="s">
        <v>1057</v>
      </c>
      <c r="K246" s="132" t="s">
        <v>642</v>
      </c>
      <c r="L246" s="220"/>
      <c r="M246" s="146" t="s">
        <v>638</v>
      </c>
      <c r="N246" s="219"/>
      <c r="O246" s="172"/>
      <c r="P246" s="172">
        <v>224200000</v>
      </c>
      <c r="Q246" s="172">
        <v>230000000</v>
      </c>
      <c r="R246" s="172">
        <v>250200000</v>
      </c>
      <c r="S246" s="172">
        <v>30000000</v>
      </c>
      <c r="T246" s="172"/>
      <c r="U246" s="217"/>
      <c r="V246" s="172">
        <v>734400000</v>
      </c>
      <c r="W246" s="172">
        <f t="shared" si="19"/>
        <v>822528000.00000012</v>
      </c>
      <c r="X246" s="223"/>
      <c r="Y246" s="135">
        <v>2014</v>
      </c>
      <c r="Z246" s="232"/>
      <c r="AD246" s="233"/>
      <c r="AE246" s="233"/>
      <c r="AF246" s="233"/>
      <c r="AG246" s="233"/>
    </row>
    <row r="247" spans="2:33" s="213" customFormat="1" ht="48" customHeight="1" x14ac:dyDescent="0.25">
      <c r="B247" s="82" t="s">
        <v>881</v>
      </c>
      <c r="C247" s="82" t="s">
        <v>2</v>
      </c>
      <c r="D247" s="82" t="s">
        <v>295</v>
      </c>
      <c r="E247" s="82" t="s">
        <v>296</v>
      </c>
      <c r="F247" s="82" t="s">
        <v>296</v>
      </c>
      <c r="G247" s="82" t="s">
        <v>643</v>
      </c>
      <c r="H247" s="82" t="s">
        <v>95</v>
      </c>
      <c r="I247" s="131">
        <v>0</v>
      </c>
      <c r="J247" s="132" t="s">
        <v>1036</v>
      </c>
      <c r="K247" s="132" t="s">
        <v>382</v>
      </c>
      <c r="L247" s="224"/>
      <c r="M247" s="146" t="s">
        <v>638</v>
      </c>
      <c r="N247" s="215"/>
      <c r="O247" s="172"/>
      <c r="P247" s="172">
        <v>71287072</v>
      </c>
      <c r="Q247" s="172">
        <v>44356464</v>
      </c>
      <c r="R247" s="172">
        <v>44356464</v>
      </c>
      <c r="S247" s="172"/>
      <c r="T247" s="172"/>
      <c r="U247" s="217"/>
      <c r="V247" s="172">
        <v>0</v>
      </c>
      <c r="W247" s="172">
        <f t="shared" si="19"/>
        <v>0</v>
      </c>
      <c r="X247" s="214"/>
      <c r="Y247" s="135">
        <v>2014</v>
      </c>
      <c r="Z247" s="172" t="s">
        <v>996</v>
      </c>
      <c r="AD247" s="233"/>
      <c r="AE247" s="233"/>
      <c r="AF247" s="233"/>
      <c r="AG247" s="233"/>
    </row>
    <row r="248" spans="2:33" s="213" customFormat="1" ht="48" customHeight="1" x14ac:dyDescent="0.25">
      <c r="B248" s="82" t="s">
        <v>882</v>
      </c>
      <c r="C248" s="82" t="s">
        <v>2</v>
      </c>
      <c r="D248" s="82" t="s">
        <v>404</v>
      </c>
      <c r="E248" s="82" t="s">
        <v>405</v>
      </c>
      <c r="F248" s="82" t="s">
        <v>405</v>
      </c>
      <c r="G248" s="82" t="s">
        <v>644</v>
      </c>
      <c r="H248" s="82" t="s">
        <v>95</v>
      </c>
      <c r="I248" s="131">
        <v>0</v>
      </c>
      <c r="J248" s="132" t="s">
        <v>1036</v>
      </c>
      <c r="K248" s="132" t="s">
        <v>645</v>
      </c>
      <c r="L248" s="222"/>
      <c r="M248" s="146" t="s">
        <v>638</v>
      </c>
      <c r="N248" s="223"/>
      <c r="O248" s="172"/>
      <c r="P248" s="172">
        <v>8340800</v>
      </c>
      <c r="Q248" s="172">
        <v>8340800</v>
      </c>
      <c r="R248" s="172">
        <v>8340800</v>
      </c>
      <c r="S248" s="172"/>
      <c r="T248" s="172"/>
      <c r="U248" s="217"/>
      <c r="V248" s="172">
        <v>25022400</v>
      </c>
      <c r="W248" s="172">
        <f t="shared" si="19"/>
        <v>28025088.000000004</v>
      </c>
      <c r="X248" s="223"/>
      <c r="Y248" s="135">
        <v>2014</v>
      </c>
      <c r="Z248" s="232"/>
      <c r="AD248" s="233"/>
      <c r="AE248" s="233"/>
      <c r="AF248" s="233"/>
      <c r="AG248" s="233"/>
    </row>
    <row r="249" spans="2:33" s="213" customFormat="1" ht="48" customHeight="1" x14ac:dyDescent="0.25">
      <c r="B249" s="82" t="s">
        <v>883</v>
      </c>
      <c r="C249" s="82" t="s">
        <v>2</v>
      </c>
      <c r="D249" s="82" t="s">
        <v>646</v>
      </c>
      <c r="E249" s="82" t="s">
        <v>647</v>
      </c>
      <c r="F249" s="82" t="s">
        <v>648</v>
      </c>
      <c r="G249" s="82" t="s">
        <v>649</v>
      </c>
      <c r="H249" s="82" t="s">
        <v>3</v>
      </c>
      <c r="I249" s="131">
        <v>0</v>
      </c>
      <c r="J249" s="132" t="s">
        <v>1058</v>
      </c>
      <c r="K249" s="55" t="s">
        <v>41</v>
      </c>
      <c r="L249" s="218"/>
      <c r="M249" s="146" t="s">
        <v>638</v>
      </c>
      <c r="N249" s="222"/>
      <c r="O249" s="172"/>
      <c r="P249" s="172">
        <v>30070318</v>
      </c>
      <c r="Q249" s="172">
        <v>40698779</v>
      </c>
      <c r="R249" s="172">
        <v>41361151</v>
      </c>
      <c r="S249" s="172"/>
      <c r="T249" s="172"/>
      <c r="U249" s="217"/>
      <c r="V249" s="172">
        <v>112130248</v>
      </c>
      <c r="W249" s="172">
        <f t="shared" si="19"/>
        <v>125585877.76000001</v>
      </c>
      <c r="X249" s="223"/>
      <c r="Y249" s="135">
        <v>2013</v>
      </c>
      <c r="Z249" s="172" t="s">
        <v>931</v>
      </c>
      <c r="AD249" s="233"/>
      <c r="AE249" s="233"/>
      <c r="AF249" s="233"/>
      <c r="AG249" s="233"/>
    </row>
    <row r="250" spans="2:33" s="213" customFormat="1" ht="48" customHeight="1" x14ac:dyDescent="0.25">
      <c r="B250" s="82" t="s">
        <v>884</v>
      </c>
      <c r="C250" s="82" t="s">
        <v>2</v>
      </c>
      <c r="D250" s="82" t="s">
        <v>646</v>
      </c>
      <c r="E250" s="82" t="s">
        <v>647</v>
      </c>
      <c r="F250" s="82" t="s">
        <v>648</v>
      </c>
      <c r="G250" s="82" t="s">
        <v>650</v>
      </c>
      <c r="H250" s="82" t="s">
        <v>3</v>
      </c>
      <c r="I250" s="131">
        <v>0</v>
      </c>
      <c r="J250" s="132" t="s">
        <v>1058</v>
      </c>
      <c r="K250" s="55" t="s">
        <v>41</v>
      </c>
      <c r="L250" s="218"/>
      <c r="M250" s="146" t="s">
        <v>638</v>
      </c>
      <c r="N250" s="222"/>
      <c r="O250" s="172"/>
      <c r="P250" s="172">
        <v>394839</v>
      </c>
      <c r="Q250" s="172">
        <v>534396</v>
      </c>
      <c r="R250" s="172">
        <v>543093</v>
      </c>
      <c r="S250" s="172"/>
      <c r="T250" s="172"/>
      <c r="U250" s="217"/>
      <c r="V250" s="172">
        <v>1472327.41</v>
      </c>
      <c r="W250" s="172">
        <f t="shared" si="19"/>
        <v>1649006.6992000001</v>
      </c>
      <c r="X250" s="223"/>
      <c r="Y250" s="135">
        <v>2013</v>
      </c>
      <c r="Z250" s="172" t="s">
        <v>931</v>
      </c>
      <c r="AD250" s="233"/>
      <c r="AE250" s="233"/>
      <c r="AF250" s="233"/>
      <c r="AG250" s="233"/>
    </row>
    <row r="251" spans="2:33" s="213" customFormat="1" ht="48" customHeight="1" x14ac:dyDescent="0.25">
      <c r="B251" s="82" t="s">
        <v>885</v>
      </c>
      <c r="C251" s="82" t="s">
        <v>2</v>
      </c>
      <c r="D251" s="82" t="s">
        <v>646</v>
      </c>
      <c r="E251" s="82" t="s">
        <v>647</v>
      </c>
      <c r="F251" s="82" t="s">
        <v>648</v>
      </c>
      <c r="G251" s="82" t="s">
        <v>651</v>
      </c>
      <c r="H251" s="82" t="s">
        <v>3</v>
      </c>
      <c r="I251" s="131">
        <v>0</v>
      </c>
      <c r="J251" s="132" t="s">
        <v>1059</v>
      </c>
      <c r="K251" s="132" t="s">
        <v>469</v>
      </c>
      <c r="L251" s="216"/>
      <c r="M251" s="146" t="s">
        <v>638</v>
      </c>
      <c r="N251" s="222"/>
      <c r="O251" s="172"/>
      <c r="P251" s="172">
        <v>200000</v>
      </c>
      <c r="Q251" s="172">
        <v>200000</v>
      </c>
      <c r="R251" s="172">
        <v>200000</v>
      </c>
      <c r="S251" s="172"/>
      <c r="T251" s="172"/>
      <c r="U251" s="217"/>
      <c r="V251" s="172">
        <v>600000</v>
      </c>
      <c r="W251" s="172">
        <f t="shared" si="19"/>
        <v>672000.00000000012</v>
      </c>
      <c r="X251" s="223"/>
      <c r="Y251" s="135">
        <v>2013</v>
      </c>
      <c r="Z251" s="232"/>
      <c r="AD251" s="233"/>
      <c r="AE251" s="233"/>
      <c r="AF251" s="233"/>
      <c r="AG251" s="233"/>
    </row>
    <row r="252" spans="2:33" s="213" customFormat="1" ht="48" customHeight="1" x14ac:dyDescent="0.25">
      <c r="B252" s="82" t="s">
        <v>886</v>
      </c>
      <c r="C252" s="82" t="s">
        <v>2</v>
      </c>
      <c r="D252" s="82" t="s">
        <v>646</v>
      </c>
      <c r="E252" s="82" t="s">
        <v>647</v>
      </c>
      <c r="F252" s="82" t="s">
        <v>648</v>
      </c>
      <c r="G252" s="82" t="s">
        <v>652</v>
      </c>
      <c r="H252" s="82" t="s">
        <v>3</v>
      </c>
      <c r="I252" s="131">
        <v>0</v>
      </c>
      <c r="J252" s="132" t="s">
        <v>1059</v>
      </c>
      <c r="K252" s="132" t="s">
        <v>556</v>
      </c>
      <c r="L252" s="216"/>
      <c r="M252" s="146" t="s">
        <v>638</v>
      </c>
      <c r="N252" s="222"/>
      <c r="O252" s="172"/>
      <c r="P252" s="172">
        <v>100000</v>
      </c>
      <c r="Q252" s="172">
        <v>100000</v>
      </c>
      <c r="R252" s="172">
        <v>100000</v>
      </c>
      <c r="S252" s="172"/>
      <c r="T252" s="172"/>
      <c r="U252" s="217"/>
      <c r="V252" s="172">
        <v>300000</v>
      </c>
      <c r="W252" s="172">
        <f t="shared" ref="W252:W296" si="21">V252*1.12</f>
        <v>336000.00000000006</v>
      </c>
      <c r="X252" s="223"/>
      <c r="Y252" s="135">
        <v>2013</v>
      </c>
      <c r="Z252" s="232"/>
      <c r="AD252" s="233"/>
      <c r="AE252" s="233"/>
      <c r="AF252" s="233"/>
      <c r="AG252" s="233"/>
    </row>
    <row r="253" spans="2:33" s="213" customFormat="1" ht="48" customHeight="1" x14ac:dyDescent="0.25">
      <c r="B253" s="82" t="s">
        <v>887</v>
      </c>
      <c r="C253" s="82" t="s">
        <v>2</v>
      </c>
      <c r="D253" s="82" t="s">
        <v>646</v>
      </c>
      <c r="E253" s="82" t="s">
        <v>647</v>
      </c>
      <c r="F253" s="82" t="s">
        <v>648</v>
      </c>
      <c r="G253" s="82" t="s">
        <v>650</v>
      </c>
      <c r="H253" s="82" t="s">
        <v>3</v>
      </c>
      <c r="I253" s="131">
        <v>0</v>
      </c>
      <c r="J253" s="132" t="s">
        <v>1060</v>
      </c>
      <c r="K253" s="55" t="s">
        <v>41</v>
      </c>
      <c r="L253" s="222"/>
      <c r="M253" s="146" t="s">
        <v>638</v>
      </c>
      <c r="N253" s="222"/>
      <c r="O253" s="172"/>
      <c r="P253" s="172">
        <v>13140</v>
      </c>
      <c r="Q253" s="172">
        <v>17785</v>
      </c>
      <c r="R253" s="172">
        <v>18074</v>
      </c>
      <c r="S253" s="172"/>
      <c r="T253" s="172"/>
      <c r="U253" s="217"/>
      <c r="V253" s="172">
        <v>49000</v>
      </c>
      <c r="W253" s="172">
        <f t="shared" si="21"/>
        <v>54880.000000000007</v>
      </c>
      <c r="X253" s="223"/>
      <c r="Y253" s="135">
        <v>2014</v>
      </c>
      <c r="Z253" s="172" t="s">
        <v>756</v>
      </c>
      <c r="AD253" s="233"/>
      <c r="AE253" s="233"/>
      <c r="AF253" s="233"/>
      <c r="AG253" s="233"/>
    </row>
    <row r="254" spans="2:33" s="213" customFormat="1" ht="48" customHeight="1" x14ac:dyDescent="0.25">
      <c r="B254" s="82" t="s">
        <v>888</v>
      </c>
      <c r="C254" s="82" t="s">
        <v>2</v>
      </c>
      <c r="D254" s="82" t="s">
        <v>653</v>
      </c>
      <c r="E254" s="82" t="s">
        <v>654</v>
      </c>
      <c r="F254" s="82" t="s">
        <v>655</v>
      </c>
      <c r="G254" s="82" t="s">
        <v>656</v>
      </c>
      <c r="H254" s="82" t="s">
        <v>3</v>
      </c>
      <c r="I254" s="131">
        <v>0</v>
      </c>
      <c r="J254" s="132" t="s">
        <v>1057</v>
      </c>
      <c r="K254" s="55" t="s">
        <v>41</v>
      </c>
      <c r="L254" s="220"/>
      <c r="M254" s="146" t="s">
        <v>638</v>
      </c>
      <c r="N254" s="225"/>
      <c r="O254" s="172"/>
      <c r="P254" s="172">
        <v>44578500</v>
      </c>
      <c r="Q254" s="172">
        <v>57952050</v>
      </c>
      <c r="R254" s="172">
        <v>57952050</v>
      </c>
      <c r="S254" s="172"/>
      <c r="T254" s="172"/>
      <c r="U254" s="217"/>
      <c r="V254" s="172">
        <v>160482600</v>
      </c>
      <c r="W254" s="172">
        <f t="shared" si="21"/>
        <v>179740512.00000003</v>
      </c>
      <c r="X254" s="226"/>
      <c r="Y254" s="135">
        <v>2014</v>
      </c>
      <c r="Z254" s="232"/>
      <c r="AD254" s="233"/>
      <c r="AE254" s="233"/>
      <c r="AF254" s="233"/>
      <c r="AG254" s="233"/>
    </row>
    <row r="255" spans="2:33" s="213" customFormat="1" ht="48" customHeight="1" x14ac:dyDescent="0.25">
      <c r="B255" s="82" t="s">
        <v>889</v>
      </c>
      <c r="C255" s="82" t="s">
        <v>2</v>
      </c>
      <c r="D255" s="82" t="s">
        <v>454</v>
      </c>
      <c r="E255" s="82" t="s">
        <v>455</v>
      </c>
      <c r="F255" s="82" t="s">
        <v>455</v>
      </c>
      <c r="G255" s="82" t="s">
        <v>657</v>
      </c>
      <c r="H255" s="82" t="s">
        <v>3</v>
      </c>
      <c r="I255" s="131">
        <v>0</v>
      </c>
      <c r="J255" s="132" t="s">
        <v>1061</v>
      </c>
      <c r="K255" s="132" t="s">
        <v>658</v>
      </c>
      <c r="L255" s="227"/>
      <c r="M255" s="146" t="s">
        <v>638</v>
      </c>
      <c r="N255" s="223"/>
      <c r="O255" s="172"/>
      <c r="P255" s="172">
        <v>38400000</v>
      </c>
      <c r="Q255" s="172">
        <v>38400000</v>
      </c>
      <c r="R255" s="172"/>
      <c r="S255" s="172"/>
      <c r="T255" s="172"/>
      <c r="U255" s="217"/>
      <c r="V255" s="172">
        <v>76800000</v>
      </c>
      <c r="W255" s="172">
        <f t="shared" si="21"/>
        <v>86016000.000000015</v>
      </c>
      <c r="X255" s="223"/>
      <c r="Y255" s="135">
        <v>2013</v>
      </c>
      <c r="Z255" s="232"/>
      <c r="AD255" s="233"/>
      <c r="AE255" s="233"/>
      <c r="AF255" s="233"/>
      <c r="AG255" s="233"/>
    </row>
    <row r="256" spans="2:33" s="213" customFormat="1" ht="48" customHeight="1" x14ac:dyDescent="0.25">
      <c r="B256" s="82" t="s">
        <v>890</v>
      </c>
      <c r="C256" s="82" t="s">
        <v>2</v>
      </c>
      <c r="D256" s="82" t="s">
        <v>454</v>
      </c>
      <c r="E256" s="82" t="s">
        <v>455</v>
      </c>
      <c r="F256" s="82" t="s">
        <v>455</v>
      </c>
      <c r="G256" s="82" t="s">
        <v>659</v>
      </c>
      <c r="H256" s="82" t="s">
        <v>3</v>
      </c>
      <c r="I256" s="131">
        <v>0</v>
      </c>
      <c r="J256" s="132" t="s">
        <v>1061</v>
      </c>
      <c r="K256" s="132" t="s">
        <v>658</v>
      </c>
      <c r="L256" s="227"/>
      <c r="M256" s="146" t="s">
        <v>638</v>
      </c>
      <c r="N256" s="223"/>
      <c r="O256" s="172"/>
      <c r="P256" s="172">
        <v>43700000</v>
      </c>
      <c r="Q256" s="172">
        <v>43700000</v>
      </c>
      <c r="R256" s="172"/>
      <c r="S256" s="172"/>
      <c r="T256" s="172"/>
      <c r="U256" s="217"/>
      <c r="V256" s="172">
        <v>87400000</v>
      </c>
      <c r="W256" s="172">
        <f t="shared" si="21"/>
        <v>97888000.000000015</v>
      </c>
      <c r="X256" s="223"/>
      <c r="Y256" s="135">
        <v>2013</v>
      </c>
      <c r="Z256" s="232"/>
      <c r="AD256" s="233"/>
      <c r="AE256" s="233"/>
      <c r="AF256" s="233"/>
      <c r="AG256" s="233"/>
    </row>
    <row r="257" spans="2:33" s="213" customFormat="1" ht="48" customHeight="1" x14ac:dyDescent="0.25">
      <c r="B257" s="82" t="s">
        <v>891</v>
      </c>
      <c r="C257" s="82" t="s">
        <v>2</v>
      </c>
      <c r="D257" s="82" t="s">
        <v>454</v>
      </c>
      <c r="E257" s="82" t="s">
        <v>455</v>
      </c>
      <c r="F257" s="82" t="s">
        <v>455</v>
      </c>
      <c r="G257" s="82" t="s">
        <v>660</v>
      </c>
      <c r="H257" s="82" t="s">
        <v>3</v>
      </c>
      <c r="I257" s="131">
        <v>0</v>
      </c>
      <c r="J257" s="132" t="s">
        <v>1061</v>
      </c>
      <c r="K257" s="132" t="s">
        <v>661</v>
      </c>
      <c r="L257" s="227"/>
      <c r="M257" s="146" t="s">
        <v>638</v>
      </c>
      <c r="N257" s="223"/>
      <c r="O257" s="172">
        <f>35900000/25</f>
        <v>1436000</v>
      </c>
      <c r="P257" s="172">
        <v>17232000</v>
      </c>
      <c r="Q257" s="172">
        <v>17232000</v>
      </c>
      <c r="R257" s="172"/>
      <c r="S257" s="172"/>
      <c r="T257" s="172"/>
      <c r="U257" s="217"/>
      <c r="V257" s="172">
        <v>35900000</v>
      </c>
      <c r="W257" s="172">
        <f t="shared" si="21"/>
        <v>40208000.000000007</v>
      </c>
      <c r="X257" s="223"/>
      <c r="Y257" s="135">
        <v>2013</v>
      </c>
      <c r="Z257" s="232"/>
      <c r="AD257" s="233"/>
      <c r="AE257" s="233"/>
      <c r="AF257" s="233"/>
      <c r="AG257" s="233"/>
    </row>
    <row r="258" spans="2:33" s="213" customFormat="1" ht="48" customHeight="1" x14ac:dyDescent="0.25">
      <c r="B258" s="82" t="s">
        <v>892</v>
      </c>
      <c r="C258" s="82" t="s">
        <v>2</v>
      </c>
      <c r="D258" s="82" t="s">
        <v>454</v>
      </c>
      <c r="E258" s="82" t="s">
        <v>455</v>
      </c>
      <c r="F258" s="82" t="s">
        <v>455</v>
      </c>
      <c r="G258" s="82" t="s">
        <v>662</v>
      </c>
      <c r="H258" s="82" t="s">
        <v>3</v>
      </c>
      <c r="I258" s="131">
        <v>0</v>
      </c>
      <c r="J258" s="132" t="s">
        <v>1061</v>
      </c>
      <c r="K258" s="132" t="s">
        <v>661</v>
      </c>
      <c r="L258" s="227"/>
      <c r="M258" s="146" t="s">
        <v>638</v>
      </c>
      <c r="N258" s="223"/>
      <c r="O258" s="172">
        <f>17950000/25</f>
        <v>718000</v>
      </c>
      <c r="P258" s="172">
        <v>8616000</v>
      </c>
      <c r="Q258" s="172">
        <v>8616000</v>
      </c>
      <c r="R258" s="172"/>
      <c r="S258" s="172"/>
      <c r="T258" s="172"/>
      <c r="U258" s="217"/>
      <c r="V258" s="172">
        <v>17950000</v>
      </c>
      <c r="W258" s="172">
        <f t="shared" si="21"/>
        <v>20104000.000000004</v>
      </c>
      <c r="X258" s="223"/>
      <c r="Y258" s="135">
        <v>2013</v>
      </c>
      <c r="Z258" s="232"/>
      <c r="AD258" s="233"/>
      <c r="AE258" s="233"/>
      <c r="AF258" s="233"/>
      <c r="AG258" s="233"/>
    </row>
    <row r="259" spans="2:33" s="213" customFormat="1" ht="48" customHeight="1" x14ac:dyDescent="0.25">
      <c r="B259" s="82" t="s">
        <v>893</v>
      </c>
      <c r="C259" s="82" t="s">
        <v>2</v>
      </c>
      <c r="D259" s="82" t="s">
        <v>454</v>
      </c>
      <c r="E259" s="82" t="s">
        <v>455</v>
      </c>
      <c r="F259" s="82" t="s">
        <v>455</v>
      </c>
      <c r="G259" s="82" t="s">
        <v>663</v>
      </c>
      <c r="H259" s="82" t="s">
        <v>3</v>
      </c>
      <c r="I259" s="131">
        <v>0</v>
      </c>
      <c r="J259" s="132" t="s">
        <v>1061</v>
      </c>
      <c r="K259" s="132" t="s">
        <v>664</v>
      </c>
      <c r="L259" s="227"/>
      <c r="M259" s="146" t="s">
        <v>638</v>
      </c>
      <c r="N259" s="223"/>
      <c r="O259" s="172"/>
      <c r="P259" s="172">
        <v>23710000</v>
      </c>
      <c r="Q259" s="172">
        <v>23710000</v>
      </c>
      <c r="R259" s="172"/>
      <c r="S259" s="172"/>
      <c r="T259" s="172"/>
      <c r="U259" s="217"/>
      <c r="V259" s="172">
        <v>47420000</v>
      </c>
      <c r="W259" s="172">
        <f t="shared" si="21"/>
        <v>53110400.000000007</v>
      </c>
      <c r="X259" s="223"/>
      <c r="Y259" s="135">
        <v>2013</v>
      </c>
      <c r="Z259" s="232"/>
      <c r="AD259" s="233"/>
      <c r="AE259" s="233"/>
      <c r="AF259" s="233"/>
      <c r="AG259" s="233"/>
    </row>
    <row r="260" spans="2:33" s="213" customFormat="1" ht="48" customHeight="1" x14ac:dyDescent="0.25">
      <c r="B260" s="82" t="s">
        <v>894</v>
      </c>
      <c r="C260" s="82" t="s">
        <v>2</v>
      </c>
      <c r="D260" s="82" t="s">
        <v>454</v>
      </c>
      <c r="E260" s="82" t="s">
        <v>455</v>
      </c>
      <c r="F260" s="82" t="s">
        <v>455</v>
      </c>
      <c r="G260" s="82" t="s">
        <v>665</v>
      </c>
      <c r="H260" s="82" t="s">
        <v>3</v>
      </c>
      <c r="I260" s="131">
        <v>0</v>
      </c>
      <c r="J260" s="132" t="s">
        <v>1033</v>
      </c>
      <c r="K260" s="132" t="s">
        <v>664</v>
      </c>
      <c r="L260" s="227"/>
      <c r="M260" s="146" t="s">
        <v>638</v>
      </c>
      <c r="N260" s="223"/>
      <c r="O260" s="172"/>
      <c r="P260" s="172">
        <v>19126800</v>
      </c>
      <c r="Q260" s="172">
        <v>19126800</v>
      </c>
      <c r="R260" s="172"/>
      <c r="S260" s="172"/>
      <c r="T260" s="172"/>
      <c r="U260" s="217"/>
      <c r="V260" s="172">
        <v>38253600</v>
      </c>
      <c r="W260" s="172">
        <f t="shared" si="21"/>
        <v>42844032.000000007</v>
      </c>
      <c r="X260" s="223"/>
      <c r="Y260" s="135">
        <v>2013</v>
      </c>
      <c r="Z260" s="232"/>
      <c r="AD260" s="233"/>
      <c r="AE260" s="233"/>
      <c r="AF260" s="233"/>
      <c r="AG260" s="233"/>
    </row>
    <row r="261" spans="2:33" s="213" customFormat="1" ht="48" customHeight="1" x14ac:dyDescent="0.25">
      <c r="B261" s="82" t="s">
        <v>895</v>
      </c>
      <c r="C261" s="82" t="s">
        <v>2</v>
      </c>
      <c r="D261" s="82" t="s">
        <v>454</v>
      </c>
      <c r="E261" s="82" t="s">
        <v>455</v>
      </c>
      <c r="F261" s="82" t="s">
        <v>455</v>
      </c>
      <c r="G261" s="82" t="s">
        <v>666</v>
      </c>
      <c r="H261" s="82" t="s">
        <v>3</v>
      </c>
      <c r="I261" s="131">
        <v>0</v>
      </c>
      <c r="J261" s="132" t="s">
        <v>1033</v>
      </c>
      <c r="K261" s="132" t="s">
        <v>667</v>
      </c>
      <c r="L261" s="227"/>
      <c r="M261" s="146" t="s">
        <v>638</v>
      </c>
      <c r="N261" s="223"/>
      <c r="O261" s="172"/>
      <c r="P261" s="172">
        <v>27158000</v>
      </c>
      <c r="Q261" s="172">
        <v>27158000</v>
      </c>
      <c r="R261" s="172"/>
      <c r="S261" s="172"/>
      <c r="T261" s="172"/>
      <c r="U261" s="217"/>
      <c r="V261" s="172">
        <v>54316000</v>
      </c>
      <c r="W261" s="172">
        <f t="shared" si="21"/>
        <v>60833920.000000007</v>
      </c>
      <c r="X261" s="223"/>
      <c r="Y261" s="135">
        <v>2013</v>
      </c>
      <c r="Z261" s="232"/>
      <c r="AD261" s="233"/>
      <c r="AE261" s="233"/>
      <c r="AF261" s="233"/>
      <c r="AG261" s="233"/>
    </row>
    <row r="262" spans="2:33" s="213" customFormat="1" ht="48" customHeight="1" x14ac:dyDescent="0.25">
      <c r="B262" s="82" t="s">
        <v>896</v>
      </c>
      <c r="C262" s="82" t="s">
        <v>2</v>
      </c>
      <c r="D262" s="82" t="s">
        <v>454</v>
      </c>
      <c r="E262" s="82" t="s">
        <v>455</v>
      </c>
      <c r="F262" s="82" t="s">
        <v>455</v>
      </c>
      <c r="G262" s="82" t="s">
        <v>668</v>
      </c>
      <c r="H262" s="82" t="s">
        <v>3</v>
      </c>
      <c r="I262" s="131">
        <v>0</v>
      </c>
      <c r="J262" s="132" t="s">
        <v>1033</v>
      </c>
      <c r="K262" s="132" t="s">
        <v>667</v>
      </c>
      <c r="L262" s="227"/>
      <c r="M262" s="146" t="s">
        <v>638</v>
      </c>
      <c r="N262" s="223"/>
      <c r="O262" s="172"/>
      <c r="P262" s="172">
        <v>14680000</v>
      </c>
      <c r="Q262" s="172">
        <v>14680000</v>
      </c>
      <c r="R262" s="172"/>
      <c r="S262" s="172"/>
      <c r="T262" s="172"/>
      <c r="U262" s="217"/>
      <c r="V262" s="172">
        <v>29360000</v>
      </c>
      <c r="W262" s="172">
        <f t="shared" si="21"/>
        <v>32883200.000000004</v>
      </c>
      <c r="X262" s="223"/>
      <c r="Y262" s="135">
        <v>2013</v>
      </c>
      <c r="Z262" s="232"/>
      <c r="AD262" s="233"/>
      <c r="AE262" s="233"/>
      <c r="AF262" s="233"/>
      <c r="AG262" s="233"/>
    </row>
    <row r="263" spans="2:33" s="213" customFormat="1" ht="48" customHeight="1" x14ac:dyDescent="0.25">
      <c r="B263" s="82" t="s">
        <v>897</v>
      </c>
      <c r="C263" s="82" t="s">
        <v>2</v>
      </c>
      <c r="D263" s="82" t="s">
        <v>454</v>
      </c>
      <c r="E263" s="82" t="s">
        <v>455</v>
      </c>
      <c r="F263" s="82" t="s">
        <v>455</v>
      </c>
      <c r="G263" s="82" t="s">
        <v>669</v>
      </c>
      <c r="H263" s="82" t="s">
        <v>3</v>
      </c>
      <c r="I263" s="131">
        <v>0</v>
      </c>
      <c r="J263" s="132" t="s">
        <v>1062</v>
      </c>
      <c r="K263" s="132" t="s">
        <v>460</v>
      </c>
      <c r="L263" s="227"/>
      <c r="M263" s="146" t="s">
        <v>638</v>
      </c>
      <c r="N263" s="223"/>
      <c r="O263" s="172"/>
      <c r="P263" s="172">
        <v>27625000</v>
      </c>
      <c r="Q263" s="172">
        <v>27625000</v>
      </c>
      <c r="R263" s="172"/>
      <c r="S263" s="172"/>
      <c r="T263" s="172"/>
      <c r="U263" s="217"/>
      <c r="V263" s="172">
        <v>55250000</v>
      </c>
      <c r="W263" s="172">
        <f t="shared" si="21"/>
        <v>61880000.000000007</v>
      </c>
      <c r="X263" s="223"/>
      <c r="Y263" s="135">
        <v>2013</v>
      </c>
      <c r="Z263" s="232"/>
      <c r="AD263" s="233"/>
      <c r="AE263" s="233"/>
      <c r="AF263" s="233"/>
      <c r="AG263" s="233"/>
    </row>
    <row r="264" spans="2:33" s="213" customFormat="1" ht="48" customHeight="1" x14ac:dyDescent="0.25">
      <c r="B264" s="82" t="s">
        <v>898</v>
      </c>
      <c r="C264" s="82" t="s">
        <v>2</v>
      </c>
      <c r="D264" s="82" t="s">
        <v>454</v>
      </c>
      <c r="E264" s="82" t="s">
        <v>455</v>
      </c>
      <c r="F264" s="82" t="s">
        <v>455</v>
      </c>
      <c r="G264" s="82" t="s">
        <v>670</v>
      </c>
      <c r="H264" s="82" t="s">
        <v>3</v>
      </c>
      <c r="I264" s="131">
        <v>0</v>
      </c>
      <c r="J264" s="132" t="s">
        <v>1033</v>
      </c>
      <c r="K264" s="132" t="s">
        <v>460</v>
      </c>
      <c r="L264" s="227"/>
      <c r="M264" s="146" t="s">
        <v>638</v>
      </c>
      <c r="N264" s="223"/>
      <c r="O264" s="172"/>
      <c r="P264" s="172">
        <v>19000000</v>
      </c>
      <c r="Q264" s="172">
        <v>19000000</v>
      </c>
      <c r="R264" s="172"/>
      <c r="S264" s="172"/>
      <c r="T264" s="172"/>
      <c r="U264" s="217"/>
      <c r="V264" s="172">
        <v>38000000</v>
      </c>
      <c r="W264" s="172">
        <f t="shared" si="21"/>
        <v>42560000.000000007</v>
      </c>
      <c r="X264" s="223"/>
      <c r="Y264" s="135">
        <v>2013</v>
      </c>
      <c r="Z264" s="232"/>
      <c r="AD264" s="233"/>
      <c r="AE264" s="233"/>
      <c r="AF264" s="233"/>
      <c r="AG264" s="233"/>
    </row>
    <row r="265" spans="2:33" s="213" customFormat="1" ht="48" customHeight="1" x14ac:dyDescent="0.25">
      <c r="B265" s="82" t="s">
        <v>899</v>
      </c>
      <c r="C265" s="82" t="s">
        <v>2</v>
      </c>
      <c r="D265" s="82" t="s">
        <v>454</v>
      </c>
      <c r="E265" s="82" t="s">
        <v>455</v>
      </c>
      <c r="F265" s="82" t="s">
        <v>455</v>
      </c>
      <c r="G265" s="82" t="s">
        <v>671</v>
      </c>
      <c r="H265" s="82" t="s">
        <v>3</v>
      </c>
      <c r="I265" s="131">
        <v>0</v>
      </c>
      <c r="J265" s="132" t="s">
        <v>1033</v>
      </c>
      <c r="K265" s="132" t="s">
        <v>640</v>
      </c>
      <c r="L265" s="227"/>
      <c r="M265" s="146" t="s">
        <v>638</v>
      </c>
      <c r="N265" s="223"/>
      <c r="O265" s="172"/>
      <c r="P265" s="172">
        <v>23000000</v>
      </c>
      <c r="Q265" s="172">
        <v>23000000</v>
      </c>
      <c r="R265" s="172"/>
      <c r="S265" s="172"/>
      <c r="T265" s="172"/>
      <c r="U265" s="217"/>
      <c r="V265" s="172">
        <v>46000000</v>
      </c>
      <c r="W265" s="172">
        <f t="shared" si="21"/>
        <v>51520000.000000007</v>
      </c>
      <c r="X265" s="223"/>
      <c r="Y265" s="135">
        <v>2013</v>
      </c>
      <c r="Z265" s="232"/>
      <c r="AD265" s="233"/>
      <c r="AE265" s="233"/>
      <c r="AF265" s="233"/>
      <c r="AG265" s="233"/>
    </row>
    <row r="266" spans="2:33" s="213" customFormat="1" ht="48" customHeight="1" x14ac:dyDescent="0.25">
      <c r="B266" s="82" t="s">
        <v>900</v>
      </c>
      <c r="C266" s="82" t="s">
        <v>2</v>
      </c>
      <c r="D266" s="82" t="s">
        <v>454</v>
      </c>
      <c r="E266" s="82" t="s">
        <v>455</v>
      </c>
      <c r="F266" s="82" t="s">
        <v>455</v>
      </c>
      <c r="G266" s="82" t="s">
        <v>671</v>
      </c>
      <c r="H266" s="82" t="s">
        <v>3</v>
      </c>
      <c r="I266" s="131">
        <v>0</v>
      </c>
      <c r="J266" s="132" t="s">
        <v>1061</v>
      </c>
      <c r="K266" s="132" t="s">
        <v>640</v>
      </c>
      <c r="L266" s="227"/>
      <c r="M266" s="146" t="s">
        <v>638</v>
      </c>
      <c r="N266" s="223"/>
      <c r="O266" s="172"/>
      <c r="P266" s="172">
        <v>17500000</v>
      </c>
      <c r="Q266" s="172">
        <v>17500000</v>
      </c>
      <c r="R266" s="172"/>
      <c r="S266" s="172"/>
      <c r="T266" s="172"/>
      <c r="U266" s="217"/>
      <c r="V266" s="172">
        <v>35000000</v>
      </c>
      <c r="W266" s="172">
        <f t="shared" si="21"/>
        <v>39200000.000000007</v>
      </c>
      <c r="X266" s="223"/>
      <c r="Y266" s="135">
        <v>2013</v>
      </c>
      <c r="Z266" s="232"/>
      <c r="AD266" s="233"/>
      <c r="AE266" s="233"/>
      <c r="AF266" s="233"/>
      <c r="AG266" s="233"/>
    </row>
    <row r="267" spans="2:33" s="213" customFormat="1" ht="48" customHeight="1" x14ac:dyDescent="0.25">
      <c r="B267" s="82" t="s">
        <v>901</v>
      </c>
      <c r="C267" s="82" t="s">
        <v>2</v>
      </c>
      <c r="D267" s="82" t="s">
        <v>574</v>
      </c>
      <c r="E267" s="82" t="s">
        <v>575</v>
      </c>
      <c r="F267" s="82" t="s">
        <v>575</v>
      </c>
      <c r="G267" s="82" t="s">
        <v>672</v>
      </c>
      <c r="H267" s="82" t="s">
        <v>3</v>
      </c>
      <c r="I267" s="131">
        <v>0</v>
      </c>
      <c r="J267" s="132" t="s">
        <v>1031</v>
      </c>
      <c r="K267" s="132" t="s">
        <v>673</v>
      </c>
      <c r="L267" s="220"/>
      <c r="M267" s="146" t="s">
        <v>638</v>
      </c>
      <c r="N267" s="222"/>
      <c r="O267" s="172"/>
      <c r="P267" s="172">
        <v>245440255</v>
      </c>
      <c r="Q267" s="172">
        <v>315822294</v>
      </c>
      <c r="R267" s="172"/>
      <c r="S267" s="172"/>
      <c r="T267" s="172"/>
      <c r="U267" s="217"/>
      <c r="V267" s="172">
        <v>561262549</v>
      </c>
      <c r="W267" s="172">
        <f t="shared" si="21"/>
        <v>628614054.88000011</v>
      </c>
      <c r="X267" s="214"/>
      <c r="Y267" s="135">
        <v>2014</v>
      </c>
      <c r="Z267" s="232"/>
      <c r="AD267" s="233"/>
      <c r="AE267" s="233"/>
      <c r="AF267" s="233"/>
      <c r="AG267" s="233"/>
    </row>
    <row r="268" spans="2:33" s="213" customFormat="1" ht="48" customHeight="1" x14ac:dyDescent="0.25">
      <c r="B268" s="82" t="s">
        <v>902</v>
      </c>
      <c r="C268" s="82" t="s">
        <v>2</v>
      </c>
      <c r="D268" s="82" t="s">
        <v>574</v>
      </c>
      <c r="E268" s="82" t="s">
        <v>575</v>
      </c>
      <c r="F268" s="82" t="s">
        <v>575</v>
      </c>
      <c r="G268" s="82" t="s">
        <v>674</v>
      </c>
      <c r="H268" s="82" t="s">
        <v>3</v>
      </c>
      <c r="I268" s="131">
        <v>0</v>
      </c>
      <c r="J268" s="132" t="s">
        <v>1060</v>
      </c>
      <c r="K268" s="132" t="s">
        <v>675</v>
      </c>
      <c r="L268" s="222"/>
      <c r="M268" s="146" t="s">
        <v>638</v>
      </c>
      <c r="N268" s="222"/>
      <c r="O268" s="172"/>
      <c r="P268" s="172">
        <v>53674430</v>
      </c>
      <c r="Q268" s="172">
        <v>78979518</v>
      </c>
      <c r="R268" s="172">
        <v>88030539</v>
      </c>
      <c r="S268" s="172"/>
      <c r="T268" s="172"/>
      <c r="U268" s="217"/>
      <c r="V268" s="172">
        <v>220684487</v>
      </c>
      <c r="W268" s="172">
        <f t="shared" si="21"/>
        <v>247166625.44000003</v>
      </c>
      <c r="X268" s="214"/>
      <c r="Y268" s="135">
        <v>2014</v>
      </c>
      <c r="Z268" s="232"/>
      <c r="AD268" s="233"/>
      <c r="AE268" s="233"/>
      <c r="AF268" s="233"/>
      <c r="AG268" s="233"/>
    </row>
    <row r="269" spans="2:33" s="213" customFormat="1" ht="48" customHeight="1" x14ac:dyDescent="0.25">
      <c r="B269" s="82" t="s">
        <v>903</v>
      </c>
      <c r="C269" s="82" t="s">
        <v>2</v>
      </c>
      <c r="D269" s="82" t="s">
        <v>676</v>
      </c>
      <c r="E269" s="82" t="s">
        <v>677</v>
      </c>
      <c r="F269" s="82" t="s">
        <v>677</v>
      </c>
      <c r="G269" s="82" t="s">
        <v>678</v>
      </c>
      <c r="H269" s="82" t="s">
        <v>3</v>
      </c>
      <c r="I269" s="131">
        <v>0</v>
      </c>
      <c r="J269" s="132" t="s">
        <v>1063</v>
      </c>
      <c r="K269" s="55" t="s">
        <v>41</v>
      </c>
      <c r="L269" s="220"/>
      <c r="M269" s="146" t="s">
        <v>679</v>
      </c>
      <c r="N269" s="215"/>
      <c r="O269" s="172"/>
      <c r="P269" s="172">
        <v>13502200</v>
      </c>
      <c r="Q269" s="172">
        <v>14430000</v>
      </c>
      <c r="R269" s="172">
        <v>14430000</v>
      </c>
      <c r="S269" s="172">
        <v>14430000</v>
      </c>
      <c r="T269" s="172">
        <v>14430000</v>
      </c>
      <c r="U269" s="217"/>
      <c r="V269" s="172">
        <v>71222200</v>
      </c>
      <c r="W269" s="172">
        <f t="shared" si="21"/>
        <v>79768864.000000015</v>
      </c>
      <c r="X269" s="223"/>
      <c r="Y269" s="135">
        <v>2014</v>
      </c>
      <c r="Z269" s="232"/>
      <c r="AD269" s="233"/>
      <c r="AE269" s="233"/>
      <c r="AF269" s="233"/>
      <c r="AG269" s="233"/>
    </row>
    <row r="270" spans="2:33" s="213" customFormat="1" ht="48" customHeight="1" x14ac:dyDescent="0.25">
      <c r="B270" s="82" t="s">
        <v>904</v>
      </c>
      <c r="C270" s="82" t="s">
        <v>2</v>
      </c>
      <c r="D270" s="82" t="s">
        <v>325</v>
      </c>
      <c r="E270" s="82" t="s">
        <v>326</v>
      </c>
      <c r="F270" s="82" t="s">
        <v>327</v>
      </c>
      <c r="G270" s="82" t="s">
        <v>680</v>
      </c>
      <c r="H270" s="82" t="s">
        <v>95</v>
      </c>
      <c r="I270" s="131">
        <v>0</v>
      </c>
      <c r="J270" s="132" t="s">
        <v>1043</v>
      </c>
      <c r="K270" s="55" t="s">
        <v>41</v>
      </c>
      <c r="L270" s="224"/>
      <c r="M270" s="146" t="s">
        <v>638</v>
      </c>
      <c r="N270" s="223"/>
      <c r="O270" s="172"/>
      <c r="P270" s="172">
        <v>3549560</v>
      </c>
      <c r="Q270" s="172">
        <v>3814160</v>
      </c>
      <c r="R270" s="172">
        <v>3814160</v>
      </c>
      <c r="S270" s="172">
        <v>3814160</v>
      </c>
      <c r="T270" s="172">
        <v>3814160</v>
      </c>
      <c r="U270" s="217"/>
      <c r="V270" s="172">
        <v>18806200</v>
      </c>
      <c r="W270" s="172">
        <f t="shared" si="21"/>
        <v>21062944.000000004</v>
      </c>
      <c r="X270" s="223"/>
      <c r="Y270" s="135">
        <v>2014</v>
      </c>
      <c r="Z270" s="232"/>
      <c r="AD270" s="233"/>
      <c r="AE270" s="233"/>
      <c r="AF270" s="233"/>
      <c r="AG270" s="233"/>
    </row>
    <row r="271" spans="2:33" s="213" customFormat="1" ht="48" customHeight="1" x14ac:dyDescent="0.25">
      <c r="B271" s="82" t="s">
        <v>905</v>
      </c>
      <c r="C271" s="82" t="s">
        <v>2</v>
      </c>
      <c r="D271" s="82" t="s">
        <v>681</v>
      </c>
      <c r="E271" s="82" t="s">
        <v>682</v>
      </c>
      <c r="F271" s="82" t="s">
        <v>683</v>
      </c>
      <c r="G271" s="82" t="s">
        <v>684</v>
      </c>
      <c r="H271" s="82" t="s">
        <v>95</v>
      </c>
      <c r="I271" s="131">
        <v>0</v>
      </c>
      <c r="J271" s="132" t="s">
        <v>1043</v>
      </c>
      <c r="K271" s="55" t="s">
        <v>41</v>
      </c>
      <c r="L271" s="224"/>
      <c r="M271" s="146" t="s">
        <v>685</v>
      </c>
      <c r="N271" s="223"/>
      <c r="O271" s="172"/>
      <c r="P271" s="172">
        <v>446400</v>
      </c>
      <c r="Q271" s="172">
        <v>892800</v>
      </c>
      <c r="R271" s="172">
        <v>892800</v>
      </c>
      <c r="S271" s="172">
        <v>446400</v>
      </c>
      <c r="T271" s="172"/>
      <c r="U271" s="217"/>
      <c r="V271" s="172">
        <v>2678400</v>
      </c>
      <c r="W271" s="172">
        <f t="shared" si="21"/>
        <v>2999808.0000000005</v>
      </c>
      <c r="X271" s="223"/>
      <c r="Y271" s="135">
        <v>2014</v>
      </c>
      <c r="Z271" s="232"/>
      <c r="AD271" s="233"/>
      <c r="AE271" s="233"/>
      <c r="AF271" s="233"/>
      <c r="AG271" s="233"/>
    </row>
    <row r="272" spans="2:33" s="213" customFormat="1" ht="48" customHeight="1" x14ac:dyDescent="0.25">
      <c r="B272" s="82" t="s">
        <v>906</v>
      </c>
      <c r="C272" s="82" t="s">
        <v>2</v>
      </c>
      <c r="D272" s="82" t="s">
        <v>686</v>
      </c>
      <c r="E272" s="82" t="s">
        <v>687</v>
      </c>
      <c r="F272" s="82" t="s">
        <v>688</v>
      </c>
      <c r="G272" s="82" t="s">
        <v>689</v>
      </c>
      <c r="H272" s="82" t="s">
        <v>95</v>
      </c>
      <c r="I272" s="131">
        <v>0</v>
      </c>
      <c r="J272" s="132" t="s">
        <v>1043</v>
      </c>
      <c r="K272" s="55" t="s">
        <v>41</v>
      </c>
      <c r="L272" s="224"/>
      <c r="M272" s="146" t="s">
        <v>685</v>
      </c>
      <c r="N272" s="220"/>
      <c r="O272" s="172"/>
      <c r="P272" s="172">
        <v>2944950</v>
      </c>
      <c r="Q272" s="172">
        <v>3533940</v>
      </c>
      <c r="R272" s="172">
        <v>3533940</v>
      </c>
      <c r="S272" s="172">
        <v>588990</v>
      </c>
      <c r="T272" s="172"/>
      <c r="U272" s="217"/>
      <c r="V272" s="172">
        <v>10601820</v>
      </c>
      <c r="W272" s="172">
        <f t="shared" si="21"/>
        <v>11874038.4</v>
      </c>
      <c r="X272" s="214"/>
      <c r="Y272" s="135">
        <v>2014</v>
      </c>
      <c r="Z272" s="232"/>
      <c r="AD272" s="233"/>
      <c r="AE272" s="233"/>
      <c r="AF272" s="233"/>
      <c r="AG272" s="233"/>
    </row>
    <row r="273" spans="2:33" s="213" customFormat="1" ht="48" customHeight="1" x14ac:dyDescent="0.25">
      <c r="B273" s="82" t="s">
        <v>907</v>
      </c>
      <c r="C273" s="82" t="s">
        <v>2</v>
      </c>
      <c r="D273" s="82" t="s">
        <v>498</v>
      </c>
      <c r="E273" s="82" t="s">
        <v>499</v>
      </c>
      <c r="F273" s="82" t="s">
        <v>500</v>
      </c>
      <c r="G273" s="82" t="s">
        <v>690</v>
      </c>
      <c r="H273" s="82" t="s">
        <v>95</v>
      </c>
      <c r="I273" s="131">
        <v>0</v>
      </c>
      <c r="J273" s="132" t="s">
        <v>1064</v>
      </c>
      <c r="K273" s="132" t="s">
        <v>691</v>
      </c>
      <c r="L273" s="222"/>
      <c r="M273" s="146" t="s">
        <v>638</v>
      </c>
      <c r="N273" s="223"/>
      <c r="O273" s="172"/>
      <c r="P273" s="172">
        <v>107000000</v>
      </c>
      <c r="Q273" s="172">
        <v>43000000</v>
      </c>
      <c r="R273" s="172"/>
      <c r="S273" s="172"/>
      <c r="T273" s="172"/>
      <c r="U273" s="217"/>
      <c r="V273" s="172">
        <v>150000000</v>
      </c>
      <c r="W273" s="172">
        <f t="shared" si="21"/>
        <v>168000000.00000003</v>
      </c>
      <c r="X273" s="214"/>
      <c r="Y273" s="135" t="s">
        <v>692</v>
      </c>
      <c r="Z273" s="232"/>
      <c r="AD273" s="233"/>
      <c r="AE273" s="233"/>
      <c r="AF273" s="233"/>
      <c r="AG273" s="233"/>
    </row>
    <row r="274" spans="2:33" s="213" customFormat="1" ht="48" customHeight="1" x14ac:dyDescent="0.25">
      <c r="B274" s="82" t="s">
        <v>908</v>
      </c>
      <c r="C274" s="82" t="s">
        <v>2</v>
      </c>
      <c r="D274" s="82" t="s">
        <v>697</v>
      </c>
      <c r="E274" s="82" t="s">
        <v>698</v>
      </c>
      <c r="F274" s="82" t="s">
        <v>698</v>
      </c>
      <c r="G274" s="82" t="s">
        <v>699</v>
      </c>
      <c r="H274" s="82" t="s">
        <v>95</v>
      </c>
      <c r="I274" s="131">
        <v>100</v>
      </c>
      <c r="J274" s="132" t="s">
        <v>402</v>
      </c>
      <c r="K274" s="132" t="s">
        <v>469</v>
      </c>
      <c r="L274" s="229"/>
      <c r="M274" s="146" t="s">
        <v>700</v>
      </c>
      <c r="N274" s="223"/>
      <c r="O274" s="172"/>
      <c r="P274" s="172">
        <v>2085318</v>
      </c>
      <c r="Q274" s="172">
        <v>2085318</v>
      </c>
      <c r="R274" s="172">
        <v>2085318</v>
      </c>
      <c r="S274" s="172"/>
      <c r="T274" s="172"/>
      <c r="U274" s="217"/>
      <c r="V274" s="172">
        <v>6255954</v>
      </c>
      <c r="W274" s="172">
        <f t="shared" si="21"/>
        <v>7006668.4800000004</v>
      </c>
      <c r="X274" s="214"/>
      <c r="Y274" s="135">
        <v>2013</v>
      </c>
      <c r="Z274" s="232"/>
      <c r="AD274" s="233"/>
      <c r="AE274" s="233"/>
      <c r="AF274" s="233"/>
      <c r="AG274" s="233"/>
    </row>
    <row r="275" spans="2:33" s="213" customFormat="1" ht="48" customHeight="1" x14ac:dyDescent="0.25">
      <c r="B275" s="82" t="s">
        <v>909</v>
      </c>
      <c r="C275" s="82" t="s">
        <v>2</v>
      </c>
      <c r="D275" s="82" t="s">
        <v>539</v>
      </c>
      <c r="E275" s="82" t="s">
        <v>540</v>
      </c>
      <c r="F275" s="82" t="s">
        <v>540</v>
      </c>
      <c r="G275" s="82" t="s">
        <v>701</v>
      </c>
      <c r="H275" s="82" t="s">
        <v>3</v>
      </c>
      <c r="I275" s="131">
        <v>100</v>
      </c>
      <c r="J275" s="132" t="s">
        <v>1065</v>
      </c>
      <c r="K275" s="55" t="s">
        <v>41</v>
      </c>
      <c r="L275" s="221"/>
      <c r="M275" s="146" t="s">
        <v>702</v>
      </c>
      <c r="N275" s="214"/>
      <c r="O275" s="172"/>
      <c r="P275" s="172">
        <v>12074063</v>
      </c>
      <c r="Q275" s="172">
        <v>16098750</v>
      </c>
      <c r="R275" s="172">
        <v>16098750</v>
      </c>
      <c r="S275" s="172"/>
      <c r="T275" s="172"/>
      <c r="U275" s="217"/>
      <c r="V275" s="172">
        <v>44271563</v>
      </c>
      <c r="W275" s="172">
        <f t="shared" si="21"/>
        <v>49584150.560000002</v>
      </c>
      <c r="X275" s="214"/>
      <c r="Y275" s="135">
        <v>2014</v>
      </c>
      <c r="Z275" s="232"/>
      <c r="AD275" s="233"/>
      <c r="AE275" s="233"/>
      <c r="AF275" s="233"/>
      <c r="AG275" s="233"/>
    </row>
    <row r="276" spans="2:33" s="213" customFormat="1" ht="48" customHeight="1" x14ac:dyDescent="0.25">
      <c r="B276" s="82" t="s">
        <v>910</v>
      </c>
      <c r="C276" s="82" t="s">
        <v>2</v>
      </c>
      <c r="D276" s="82" t="s">
        <v>544</v>
      </c>
      <c r="E276" s="82" t="s">
        <v>545</v>
      </c>
      <c r="F276" s="82" t="s">
        <v>546</v>
      </c>
      <c r="G276" s="82" t="s">
        <v>703</v>
      </c>
      <c r="H276" s="82" t="s">
        <v>95</v>
      </c>
      <c r="I276" s="131">
        <v>100</v>
      </c>
      <c r="J276" s="132" t="s">
        <v>1033</v>
      </c>
      <c r="K276" s="132" t="s">
        <v>469</v>
      </c>
      <c r="L276" s="230"/>
      <c r="M276" s="146" t="s">
        <v>700</v>
      </c>
      <c r="N276" s="223"/>
      <c r="O276" s="172"/>
      <c r="P276" s="172">
        <v>600000</v>
      </c>
      <c r="Q276" s="172">
        <v>690000</v>
      </c>
      <c r="R276" s="172">
        <v>793500</v>
      </c>
      <c r="S276" s="172"/>
      <c r="T276" s="172"/>
      <c r="U276" s="217"/>
      <c r="V276" s="172">
        <v>2083500</v>
      </c>
      <c r="W276" s="172">
        <f t="shared" si="21"/>
        <v>2333520</v>
      </c>
      <c r="X276" s="223"/>
      <c r="Y276" s="135">
        <v>2013</v>
      </c>
      <c r="Z276" s="232"/>
      <c r="AD276" s="233"/>
      <c r="AE276" s="233"/>
      <c r="AF276" s="233"/>
      <c r="AG276" s="233"/>
    </row>
    <row r="277" spans="2:33" s="213" customFormat="1" ht="48" customHeight="1" x14ac:dyDescent="0.25">
      <c r="B277" s="82" t="s">
        <v>911</v>
      </c>
      <c r="C277" s="82" t="s">
        <v>2</v>
      </c>
      <c r="D277" s="82" t="s">
        <v>544</v>
      </c>
      <c r="E277" s="82" t="s">
        <v>545</v>
      </c>
      <c r="F277" s="82" t="s">
        <v>546</v>
      </c>
      <c r="G277" s="82" t="s">
        <v>704</v>
      </c>
      <c r="H277" s="82" t="s">
        <v>95</v>
      </c>
      <c r="I277" s="131">
        <v>100</v>
      </c>
      <c r="J277" s="132" t="s">
        <v>1033</v>
      </c>
      <c r="K277" s="132" t="s">
        <v>705</v>
      </c>
      <c r="L277" s="230"/>
      <c r="M277" s="146" t="s">
        <v>700</v>
      </c>
      <c r="N277" s="223"/>
      <c r="O277" s="172"/>
      <c r="P277" s="172">
        <v>80000</v>
      </c>
      <c r="Q277" s="172">
        <v>92000</v>
      </c>
      <c r="R277" s="172">
        <v>105800</v>
      </c>
      <c r="S277" s="172"/>
      <c r="T277" s="172"/>
      <c r="U277" s="217"/>
      <c r="V277" s="172">
        <v>277800</v>
      </c>
      <c r="W277" s="172">
        <f t="shared" si="21"/>
        <v>311136.00000000006</v>
      </c>
      <c r="X277" s="223"/>
      <c r="Y277" s="135">
        <v>2013</v>
      </c>
      <c r="Z277" s="232"/>
      <c r="AD277" s="233"/>
      <c r="AE277" s="233"/>
      <c r="AF277" s="233"/>
      <c r="AG277" s="233"/>
    </row>
    <row r="278" spans="2:33" s="213" customFormat="1" ht="48" customHeight="1" x14ac:dyDescent="0.25">
      <c r="B278" s="82" t="s">
        <v>912</v>
      </c>
      <c r="C278" s="82" t="s">
        <v>2</v>
      </c>
      <c r="D278" s="82" t="s">
        <v>706</v>
      </c>
      <c r="E278" s="82" t="s">
        <v>707</v>
      </c>
      <c r="F278" s="82" t="s">
        <v>707</v>
      </c>
      <c r="G278" s="82" t="s">
        <v>708</v>
      </c>
      <c r="H278" s="82" t="s">
        <v>95</v>
      </c>
      <c r="I278" s="131">
        <v>0</v>
      </c>
      <c r="J278" s="132" t="s">
        <v>1043</v>
      </c>
      <c r="K278" s="55" t="s">
        <v>41</v>
      </c>
      <c r="L278" s="224"/>
      <c r="M278" s="146" t="s">
        <v>709</v>
      </c>
      <c r="N278" s="223"/>
      <c r="O278" s="172"/>
      <c r="P278" s="172">
        <v>24024000</v>
      </c>
      <c r="Q278" s="172">
        <v>24024000</v>
      </c>
      <c r="R278" s="172">
        <v>24024000</v>
      </c>
      <c r="S278" s="172"/>
      <c r="T278" s="172"/>
      <c r="U278" s="217"/>
      <c r="V278" s="172">
        <v>72072000</v>
      </c>
      <c r="W278" s="172">
        <f t="shared" si="21"/>
        <v>80720640.000000015</v>
      </c>
      <c r="X278" s="214"/>
      <c r="Y278" s="135">
        <v>2014</v>
      </c>
      <c r="Z278" s="232"/>
      <c r="AD278" s="233"/>
      <c r="AE278" s="233"/>
      <c r="AF278" s="233"/>
      <c r="AG278" s="233"/>
    </row>
    <row r="279" spans="2:33" s="213" customFormat="1" ht="48" customHeight="1" x14ac:dyDescent="0.25">
      <c r="B279" s="82" t="s">
        <v>913</v>
      </c>
      <c r="C279" s="82" t="s">
        <v>2</v>
      </c>
      <c r="D279" s="82" t="s">
        <v>710</v>
      </c>
      <c r="E279" s="82" t="s">
        <v>509</v>
      </c>
      <c r="F279" s="82" t="s">
        <v>711</v>
      </c>
      <c r="G279" s="82" t="s">
        <v>712</v>
      </c>
      <c r="H279" s="82" t="s">
        <v>95</v>
      </c>
      <c r="I279" s="131">
        <v>0</v>
      </c>
      <c r="J279" s="132" t="s">
        <v>1033</v>
      </c>
      <c r="K279" s="55" t="s">
        <v>41</v>
      </c>
      <c r="L279" s="227"/>
      <c r="M279" s="146" t="s">
        <v>638</v>
      </c>
      <c r="N279" s="223"/>
      <c r="O279" s="172"/>
      <c r="P279" s="172">
        <v>52080000</v>
      </c>
      <c r="Q279" s="172">
        <v>52080000</v>
      </c>
      <c r="R279" s="172">
        <v>52080000</v>
      </c>
      <c r="S279" s="172">
        <v>52080000</v>
      </c>
      <c r="T279" s="172"/>
      <c r="U279" s="217"/>
      <c r="V279" s="172">
        <v>364560000</v>
      </c>
      <c r="W279" s="172">
        <f t="shared" si="21"/>
        <v>408307200.00000006</v>
      </c>
      <c r="X279" s="223"/>
      <c r="Y279" s="135">
        <v>2013</v>
      </c>
      <c r="Z279" s="232"/>
      <c r="AD279" s="233"/>
      <c r="AE279" s="233"/>
      <c r="AF279" s="233"/>
      <c r="AG279" s="233"/>
    </row>
    <row r="280" spans="2:33" s="213" customFormat="1" ht="48" customHeight="1" x14ac:dyDescent="0.25">
      <c r="B280" s="82" t="s">
        <v>914</v>
      </c>
      <c r="C280" s="82" t="s">
        <v>2</v>
      </c>
      <c r="D280" s="82" t="s">
        <v>512</v>
      </c>
      <c r="E280" s="82" t="s">
        <v>513</v>
      </c>
      <c r="F280" s="82" t="s">
        <v>514</v>
      </c>
      <c r="G280" s="82" t="s">
        <v>713</v>
      </c>
      <c r="H280" s="82" t="s">
        <v>95</v>
      </c>
      <c r="I280" s="131">
        <v>0</v>
      </c>
      <c r="J280" s="132" t="s">
        <v>1033</v>
      </c>
      <c r="K280" s="132" t="s">
        <v>714</v>
      </c>
      <c r="L280" s="227"/>
      <c r="M280" s="146" t="s">
        <v>638</v>
      </c>
      <c r="N280" s="223"/>
      <c r="O280" s="172"/>
      <c r="P280" s="172">
        <v>74400</v>
      </c>
      <c r="Q280" s="172">
        <v>74400</v>
      </c>
      <c r="R280" s="172">
        <v>74400</v>
      </c>
      <c r="S280" s="172"/>
      <c r="T280" s="172"/>
      <c r="U280" s="217"/>
      <c r="V280" s="172">
        <v>223200</v>
      </c>
      <c r="W280" s="172">
        <f t="shared" si="21"/>
        <v>249984.00000000003</v>
      </c>
      <c r="X280" s="223"/>
      <c r="Y280" s="135">
        <v>2013</v>
      </c>
      <c r="Z280" s="232"/>
      <c r="AD280" s="233"/>
      <c r="AE280" s="233"/>
      <c r="AF280" s="233"/>
      <c r="AG280" s="233"/>
    </row>
    <row r="281" spans="2:33" s="213" customFormat="1" ht="48" customHeight="1" x14ac:dyDescent="0.25">
      <c r="B281" s="82" t="s">
        <v>915</v>
      </c>
      <c r="C281" s="82" t="s">
        <v>2</v>
      </c>
      <c r="D281" s="82" t="s">
        <v>715</v>
      </c>
      <c r="E281" s="82" t="s">
        <v>716</v>
      </c>
      <c r="F281" s="82" t="s">
        <v>717</v>
      </c>
      <c r="G281" s="82" t="s">
        <v>718</v>
      </c>
      <c r="H281" s="82" t="s">
        <v>95</v>
      </c>
      <c r="I281" s="131">
        <v>0</v>
      </c>
      <c r="J281" s="132" t="s">
        <v>1033</v>
      </c>
      <c r="K281" s="55" t="s">
        <v>41</v>
      </c>
      <c r="L281" s="227"/>
      <c r="M281" s="146" t="s">
        <v>638</v>
      </c>
      <c r="N281" s="223"/>
      <c r="O281" s="172"/>
      <c r="P281" s="172">
        <v>360000</v>
      </c>
      <c r="Q281" s="172">
        <v>360000</v>
      </c>
      <c r="R281" s="172">
        <v>360000</v>
      </c>
      <c r="S281" s="172"/>
      <c r="T281" s="172"/>
      <c r="U281" s="217"/>
      <c r="V281" s="172">
        <v>1080000</v>
      </c>
      <c r="W281" s="172">
        <f t="shared" si="21"/>
        <v>1209600</v>
      </c>
      <c r="X281" s="223"/>
      <c r="Y281" s="135">
        <v>2013</v>
      </c>
      <c r="Z281" s="232"/>
      <c r="AD281" s="233"/>
      <c r="AE281" s="233"/>
      <c r="AF281" s="233"/>
      <c r="AG281" s="233"/>
    </row>
    <row r="282" spans="2:33" s="213" customFormat="1" ht="48" customHeight="1" x14ac:dyDescent="0.25">
      <c r="B282" s="82" t="s">
        <v>916</v>
      </c>
      <c r="C282" s="82" t="s">
        <v>2</v>
      </c>
      <c r="D282" s="82" t="s">
        <v>719</v>
      </c>
      <c r="E282" s="82" t="s">
        <v>720</v>
      </c>
      <c r="F282" s="82" t="s">
        <v>721</v>
      </c>
      <c r="G282" s="82" t="s">
        <v>722</v>
      </c>
      <c r="H282" s="82" t="s">
        <v>95</v>
      </c>
      <c r="I282" s="131">
        <v>0</v>
      </c>
      <c r="J282" s="132" t="s">
        <v>1033</v>
      </c>
      <c r="K282" s="132" t="s">
        <v>723</v>
      </c>
      <c r="L282" s="227"/>
      <c r="M282" s="146" t="s">
        <v>638</v>
      </c>
      <c r="N282" s="223"/>
      <c r="O282" s="172"/>
      <c r="P282" s="172">
        <v>240000</v>
      </c>
      <c r="Q282" s="172">
        <v>240000</v>
      </c>
      <c r="R282" s="172">
        <v>240000</v>
      </c>
      <c r="S282" s="172"/>
      <c r="T282" s="172"/>
      <c r="U282" s="217"/>
      <c r="V282" s="172">
        <v>720000</v>
      </c>
      <c r="W282" s="172">
        <f t="shared" si="21"/>
        <v>806400.00000000012</v>
      </c>
      <c r="X282" s="223"/>
      <c r="Y282" s="135">
        <v>2013</v>
      </c>
      <c r="Z282" s="232"/>
      <c r="AD282" s="233"/>
      <c r="AE282" s="233"/>
      <c r="AF282" s="233"/>
      <c r="AG282" s="233"/>
    </row>
    <row r="283" spans="2:33" s="213" customFormat="1" ht="48" customHeight="1" x14ac:dyDescent="0.25">
      <c r="B283" s="82" t="s">
        <v>917</v>
      </c>
      <c r="C283" s="82" t="s">
        <v>2</v>
      </c>
      <c r="D283" s="82" t="s">
        <v>724</v>
      </c>
      <c r="E283" s="82" t="s">
        <v>725</v>
      </c>
      <c r="F283" s="82" t="s">
        <v>726</v>
      </c>
      <c r="G283" s="82" t="s">
        <v>727</v>
      </c>
      <c r="H283" s="82" t="s">
        <v>95</v>
      </c>
      <c r="I283" s="131">
        <v>30</v>
      </c>
      <c r="J283" s="132" t="s">
        <v>1033</v>
      </c>
      <c r="K283" s="132" t="s">
        <v>728</v>
      </c>
      <c r="L283" s="230"/>
      <c r="M283" s="146" t="s">
        <v>638</v>
      </c>
      <c r="N283" s="228"/>
      <c r="O283" s="172"/>
      <c r="P283" s="172">
        <v>240000</v>
      </c>
      <c r="Q283" s="172">
        <v>240000</v>
      </c>
      <c r="R283" s="172">
        <v>240000</v>
      </c>
      <c r="S283" s="172"/>
      <c r="T283" s="172"/>
      <c r="U283" s="217"/>
      <c r="V283" s="172">
        <v>720000</v>
      </c>
      <c r="W283" s="172">
        <f t="shared" si="21"/>
        <v>806400.00000000012</v>
      </c>
      <c r="X283" s="226"/>
      <c r="Y283" s="135">
        <v>2013</v>
      </c>
      <c r="Z283" s="232"/>
      <c r="AD283" s="233"/>
      <c r="AE283" s="233"/>
      <c r="AF283" s="233"/>
      <c r="AG283" s="233"/>
    </row>
    <row r="284" spans="2:33" s="213" customFormat="1" ht="48" customHeight="1" x14ac:dyDescent="0.25">
      <c r="B284" s="82" t="s">
        <v>918</v>
      </c>
      <c r="C284" s="82" t="s">
        <v>2</v>
      </c>
      <c r="D284" s="82" t="s">
        <v>724</v>
      </c>
      <c r="E284" s="82" t="s">
        <v>725</v>
      </c>
      <c r="F284" s="82" t="s">
        <v>726</v>
      </c>
      <c r="G284" s="82" t="s">
        <v>729</v>
      </c>
      <c r="H284" s="82" t="s">
        <v>95</v>
      </c>
      <c r="I284" s="131">
        <v>30</v>
      </c>
      <c r="J284" s="132" t="s">
        <v>1033</v>
      </c>
      <c r="K284" s="132" t="s">
        <v>730</v>
      </c>
      <c r="L284" s="230"/>
      <c r="M284" s="146" t="s">
        <v>638</v>
      </c>
      <c r="N284" s="228"/>
      <c r="O284" s="172"/>
      <c r="P284" s="172">
        <v>1440000</v>
      </c>
      <c r="Q284" s="172">
        <v>1440000</v>
      </c>
      <c r="R284" s="172">
        <v>1440000</v>
      </c>
      <c r="S284" s="172"/>
      <c r="T284" s="172"/>
      <c r="U284" s="217"/>
      <c r="V284" s="172">
        <v>4320000</v>
      </c>
      <c r="W284" s="172">
        <f t="shared" si="21"/>
        <v>4838400</v>
      </c>
      <c r="X284" s="226"/>
      <c r="Y284" s="135">
        <v>2013</v>
      </c>
      <c r="Z284" s="232"/>
      <c r="AD284" s="233"/>
      <c r="AE284" s="233"/>
      <c r="AF284" s="233"/>
      <c r="AG284" s="233"/>
    </row>
    <row r="285" spans="2:33" s="213" customFormat="1" ht="48" customHeight="1" x14ac:dyDescent="0.25">
      <c r="B285" s="82" t="s">
        <v>919</v>
      </c>
      <c r="C285" s="82" t="s">
        <v>2</v>
      </c>
      <c r="D285" s="82" t="s">
        <v>724</v>
      </c>
      <c r="E285" s="82" t="s">
        <v>725</v>
      </c>
      <c r="F285" s="82" t="s">
        <v>726</v>
      </c>
      <c r="G285" s="82" t="s">
        <v>731</v>
      </c>
      <c r="H285" s="82" t="s">
        <v>95</v>
      </c>
      <c r="I285" s="131">
        <v>30</v>
      </c>
      <c r="J285" s="132" t="s">
        <v>1033</v>
      </c>
      <c r="K285" s="132" t="s">
        <v>732</v>
      </c>
      <c r="L285" s="230"/>
      <c r="M285" s="146" t="s">
        <v>638</v>
      </c>
      <c r="N285" s="228"/>
      <c r="O285" s="172"/>
      <c r="P285" s="172">
        <v>1596000</v>
      </c>
      <c r="Q285" s="172">
        <v>1596000</v>
      </c>
      <c r="R285" s="172">
        <v>1596000</v>
      </c>
      <c r="S285" s="172"/>
      <c r="T285" s="172"/>
      <c r="U285" s="217"/>
      <c r="V285" s="172">
        <v>4788000</v>
      </c>
      <c r="W285" s="172">
        <f t="shared" si="21"/>
        <v>5362560.0000000009</v>
      </c>
      <c r="X285" s="226"/>
      <c r="Y285" s="135">
        <v>2013</v>
      </c>
      <c r="Z285" s="232"/>
      <c r="AD285" s="233"/>
      <c r="AE285" s="233"/>
      <c r="AF285" s="233"/>
      <c r="AG285" s="233"/>
    </row>
    <row r="286" spans="2:33" s="213" customFormat="1" ht="48" customHeight="1" x14ac:dyDescent="0.25">
      <c r="B286" s="82" t="s">
        <v>920</v>
      </c>
      <c r="C286" s="82" t="s">
        <v>2</v>
      </c>
      <c r="D286" s="82" t="s">
        <v>733</v>
      </c>
      <c r="E286" s="82" t="s">
        <v>734</v>
      </c>
      <c r="F286" s="82" t="s">
        <v>735</v>
      </c>
      <c r="G286" s="82" t="s">
        <v>736</v>
      </c>
      <c r="H286" s="82" t="s">
        <v>95</v>
      </c>
      <c r="I286" s="131">
        <v>100</v>
      </c>
      <c r="J286" s="132" t="s">
        <v>1036</v>
      </c>
      <c r="K286" s="55" t="s">
        <v>41</v>
      </c>
      <c r="L286" s="224"/>
      <c r="M286" s="146" t="s">
        <v>638</v>
      </c>
      <c r="N286" s="223"/>
      <c r="O286" s="172"/>
      <c r="P286" s="172">
        <v>2310000</v>
      </c>
      <c r="Q286" s="172">
        <v>2520000</v>
      </c>
      <c r="R286" s="172"/>
      <c r="S286" s="172"/>
      <c r="T286" s="172"/>
      <c r="U286" s="217"/>
      <c r="V286" s="172">
        <v>4830000</v>
      </c>
      <c r="W286" s="172">
        <f t="shared" si="21"/>
        <v>5409600.0000000009</v>
      </c>
      <c r="X286" s="226"/>
      <c r="Y286" s="135">
        <v>2014</v>
      </c>
      <c r="Z286" s="172" t="s">
        <v>756</v>
      </c>
      <c r="AD286" s="233"/>
      <c r="AE286" s="233"/>
      <c r="AF286" s="233"/>
      <c r="AG286" s="233"/>
    </row>
    <row r="287" spans="2:33" s="213" customFormat="1" ht="48" customHeight="1" x14ac:dyDescent="0.25">
      <c r="B287" s="82" t="s">
        <v>921</v>
      </c>
      <c r="C287" s="82" t="s">
        <v>2</v>
      </c>
      <c r="D287" s="82" t="s">
        <v>737</v>
      </c>
      <c r="E287" s="82" t="s">
        <v>738</v>
      </c>
      <c r="F287" s="82" t="s">
        <v>739</v>
      </c>
      <c r="G287" s="82" t="s">
        <v>740</v>
      </c>
      <c r="H287" s="82" t="s">
        <v>95</v>
      </c>
      <c r="I287" s="131">
        <v>90</v>
      </c>
      <c r="J287" s="132" t="s">
        <v>1066</v>
      </c>
      <c r="K287" s="55" t="s">
        <v>41</v>
      </c>
      <c r="L287" s="223"/>
      <c r="M287" s="146" t="s">
        <v>1127</v>
      </c>
      <c r="N287" s="223"/>
      <c r="O287" s="172"/>
      <c r="P287" s="172">
        <v>50039568</v>
      </c>
      <c r="Q287" s="172">
        <v>53955144</v>
      </c>
      <c r="R287" s="172">
        <v>57971547</v>
      </c>
      <c r="S287" s="172"/>
      <c r="T287" s="172"/>
      <c r="U287" s="217"/>
      <c r="V287" s="172">
        <v>161966259</v>
      </c>
      <c r="W287" s="172">
        <f t="shared" si="21"/>
        <v>181402210.08000001</v>
      </c>
      <c r="X287" s="223"/>
      <c r="Y287" s="135">
        <v>2014</v>
      </c>
      <c r="Z287" s="232"/>
      <c r="AD287" s="233"/>
      <c r="AE287" s="233"/>
      <c r="AF287" s="233"/>
      <c r="AG287" s="233"/>
    </row>
    <row r="288" spans="2:33" s="213" customFormat="1" ht="48" customHeight="1" x14ac:dyDescent="0.25">
      <c r="B288" s="82" t="s">
        <v>922</v>
      </c>
      <c r="C288" s="82" t="s">
        <v>2</v>
      </c>
      <c r="D288" s="82" t="s">
        <v>706</v>
      </c>
      <c r="E288" s="82" t="s">
        <v>707</v>
      </c>
      <c r="F288" s="82" t="s">
        <v>707</v>
      </c>
      <c r="G288" s="82" t="s">
        <v>741</v>
      </c>
      <c r="H288" s="82" t="s">
        <v>95</v>
      </c>
      <c r="I288" s="131">
        <v>100</v>
      </c>
      <c r="J288" s="132" t="s">
        <v>1065</v>
      </c>
      <c r="K288" s="55" t="s">
        <v>41</v>
      </c>
      <c r="L288" s="231"/>
      <c r="M288" s="146" t="s">
        <v>638</v>
      </c>
      <c r="N288" s="231"/>
      <c r="O288" s="172"/>
      <c r="P288" s="172">
        <v>2420100</v>
      </c>
      <c r="Q288" s="172">
        <v>2904120</v>
      </c>
      <c r="R288" s="172">
        <v>2904120</v>
      </c>
      <c r="S288" s="172">
        <v>484020</v>
      </c>
      <c r="T288" s="172"/>
      <c r="U288" s="217"/>
      <c r="V288" s="172">
        <v>8712360</v>
      </c>
      <c r="W288" s="172">
        <f t="shared" si="21"/>
        <v>9757843.2000000011</v>
      </c>
      <c r="X288" s="231"/>
      <c r="Y288" s="135">
        <v>2014</v>
      </c>
      <c r="Z288" s="232"/>
      <c r="AD288" s="233"/>
      <c r="AE288" s="233"/>
      <c r="AF288" s="233"/>
      <c r="AG288" s="233"/>
    </row>
    <row r="289" spans="2:33" s="213" customFormat="1" ht="48" customHeight="1" x14ac:dyDescent="0.25">
      <c r="B289" s="82" t="s">
        <v>923</v>
      </c>
      <c r="C289" s="82" t="s">
        <v>2</v>
      </c>
      <c r="D289" s="82" t="s">
        <v>676</v>
      </c>
      <c r="E289" s="82" t="s">
        <v>677</v>
      </c>
      <c r="F289" s="82" t="s">
        <v>677</v>
      </c>
      <c r="G289" s="82" t="s">
        <v>742</v>
      </c>
      <c r="H289" s="82" t="s">
        <v>3</v>
      </c>
      <c r="I289" s="131">
        <v>0</v>
      </c>
      <c r="J289" s="132" t="s">
        <v>1067</v>
      </c>
      <c r="K289" s="55" t="s">
        <v>41</v>
      </c>
      <c r="L289" s="231"/>
      <c r="M289" s="146" t="s">
        <v>743</v>
      </c>
      <c r="N289" s="231"/>
      <c r="O289" s="172"/>
      <c r="P289" s="172">
        <v>11100000</v>
      </c>
      <c r="Q289" s="172">
        <v>4639800</v>
      </c>
      <c r="R289" s="172">
        <v>4639800</v>
      </c>
      <c r="S289" s="172">
        <v>4639800</v>
      </c>
      <c r="T289" s="172">
        <v>4639800</v>
      </c>
      <c r="U289" s="217"/>
      <c r="V289" s="172">
        <v>29659200</v>
      </c>
      <c r="W289" s="172">
        <f t="shared" si="21"/>
        <v>33218304.000000004</v>
      </c>
      <c r="X289" s="231"/>
      <c r="Y289" s="135">
        <v>2014</v>
      </c>
      <c r="Z289" s="232"/>
      <c r="AD289" s="233"/>
      <c r="AE289" s="233"/>
      <c r="AF289" s="233"/>
      <c r="AG289" s="233"/>
    </row>
    <row r="290" spans="2:33" s="213" customFormat="1" ht="48" customHeight="1" x14ac:dyDescent="0.25">
      <c r="B290" s="82" t="s">
        <v>924</v>
      </c>
      <c r="C290" s="82" t="s">
        <v>2</v>
      </c>
      <c r="D290" s="82" t="s">
        <v>744</v>
      </c>
      <c r="E290" s="82" t="s">
        <v>745</v>
      </c>
      <c r="F290" s="82" t="s">
        <v>745</v>
      </c>
      <c r="G290" s="82" t="s">
        <v>746</v>
      </c>
      <c r="H290" s="82" t="s">
        <v>95</v>
      </c>
      <c r="I290" s="131">
        <v>0</v>
      </c>
      <c r="J290" s="132" t="s">
        <v>1068</v>
      </c>
      <c r="K290" s="55" t="s">
        <v>41</v>
      </c>
      <c r="L290" s="231"/>
      <c r="M290" s="146" t="s">
        <v>747</v>
      </c>
      <c r="N290" s="231"/>
      <c r="O290" s="172"/>
      <c r="P290" s="172">
        <v>5115448</v>
      </c>
      <c r="Q290" s="172">
        <v>7673170.8300000001</v>
      </c>
      <c r="R290" s="172"/>
      <c r="S290" s="172"/>
      <c r="T290" s="172"/>
      <c r="U290" s="217"/>
      <c r="V290" s="172">
        <v>12788619</v>
      </c>
      <c r="W290" s="172">
        <f t="shared" si="21"/>
        <v>14323253.280000001</v>
      </c>
      <c r="X290" s="231"/>
      <c r="Y290" s="135">
        <v>2014</v>
      </c>
      <c r="Z290" s="232"/>
      <c r="AD290" s="233"/>
      <c r="AE290" s="233"/>
      <c r="AF290" s="233"/>
      <c r="AG290" s="233"/>
    </row>
    <row r="291" spans="2:33" s="213" customFormat="1" ht="48" customHeight="1" x14ac:dyDescent="0.25">
      <c r="B291" s="82" t="s">
        <v>925</v>
      </c>
      <c r="C291" s="82" t="s">
        <v>2</v>
      </c>
      <c r="D291" s="82" t="s">
        <v>676</v>
      </c>
      <c r="E291" s="82" t="s">
        <v>677</v>
      </c>
      <c r="F291" s="82" t="s">
        <v>677</v>
      </c>
      <c r="G291" s="82" t="s">
        <v>748</v>
      </c>
      <c r="H291" s="82" t="s">
        <v>3</v>
      </c>
      <c r="I291" s="131">
        <v>0</v>
      </c>
      <c r="J291" s="132" t="s">
        <v>1071</v>
      </c>
      <c r="K291" s="55" t="s">
        <v>41</v>
      </c>
      <c r="L291" s="231"/>
      <c r="M291" s="146" t="s">
        <v>749</v>
      </c>
      <c r="N291" s="231"/>
      <c r="O291" s="172"/>
      <c r="P291" s="172">
        <v>19500000</v>
      </c>
      <c r="Q291" s="172">
        <v>14625000</v>
      </c>
      <c r="R291" s="172">
        <v>14625000</v>
      </c>
      <c r="S291" s="172">
        <v>14625000</v>
      </c>
      <c r="T291" s="172">
        <v>14625000</v>
      </c>
      <c r="U291" s="217"/>
      <c r="V291" s="172">
        <v>78000000</v>
      </c>
      <c r="W291" s="172">
        <f t="shared" si="21"/>
        <v>87360000.000000015</v>
      </c>
      <c r="X291" s="231"/>
      <c r="Y291" s="135">
        <v>2014</v>
      </c>
      <c r="Z291" s="232"/>
      <c r="AD291" s="233"/>
      <c r="AE291" s="233"/>
      <c r="AF291" s="233"/>
      <c r="AG291" s="233"/>
    </row>
    <row r="292" spans="2:33" s="213" customFormat="1" ht="48" customHeight="1" x14ac:dyDescent="0.25">
      <c r="B292" s="82" t="s">
        <v>926</v>
      </c>
      <c r="C292" s="82" t="s">
        <v>2</v>
      </c>
      <c r="D292" s="82" t="s">
        <v>300</v>
      </c>
      <c r="E292" s="82" t="s">
        <v>301</v>
      </c>
      <c r="F292" s="82" t="s">
        <v>302</v>
      </c>
      <c r="G292" s="82" t="s">
        <v>750</v>
      </c>
      <c r="H292" s="82" t="s">
        <v>3</v>
      </c>
      <c r="I292" s="131">
        <v>0</v>
      </c>
      <c r="J292" s="132" t="s">
        <v>1064</v>
      </c>
      <c r="K292" s="55" t="s">
        <v>41</v>
      </c>
      <c r="L292" s="231"/>
      <c r="M292" s="146" t="s">
        <v>751</v>
      </c>
      <c r="N292" s="231"/>
      <c r="O292" s="172"/>
      <c r="P292" s="172">
        <v>48305000</v>
      </c>
      <c r="Q292" s="172">
        <v>14260000</v>
      </c>
      <c r="R292" s="172">
        <v>14260000</v>
      </c>
      <c r="S292" s="172">
        <v>14260000</v>
      </c>
      <c r="T292" s="172">
        <v>14260000</v>
      </c>
      <c r="U292" s="217"/>
      <c r="V292" s="172">
        <v>119605000</v>
      </c>
      <c r="W292" s="172">
        <f t="shared" si="21"/>
        <v>133957600.00000001</v>
      </c>
      <c r="X292" s="231"/>
      <c r="Y292" s="135" t="s">
        <v>692</v>
      </c>
      <c r="Z292" s="232"/>
      <c r="AD292" s="233"/>
      <c r="AE292" s="233"/>
      <c r="AF292" s="233"/>
      <c r="AG292" s="233"/>
    </row>
    <row r="293" spans="2:33" s="213" customFormat="1" ht="48" customHeight="1" x14ac:dyDescent="0.25">
      <c r="B293" s="82" t="s">
        <v>927</v>
      </c>
      <c r="C293" s="82" t="s">
        <v>2</v>
      </c>
      <c r="D293" s="82" t="s">
        <v>300</v>
      </c>
      <c r="E293" s="82" t="s">
        <v>301</v>
      </c>
      <c r="F293" s="82" t="s">
        <v>302</v>
      </c>
      <c r="G293" s="82" t="s">
        <v>752</v>
      </c>
      <c r="H293" s="82" t="s">
        <v>3</v>
      </c>
      <c r="I293" s="131">
        <v>0</v>
      </c>
      <c r="J293" s="132" t="s">
        <v>1070</v>
      </c>
      <c r="K293" s="55" t="s">
        <v>41</v>
      </c>
      <c r="L293" s="231"/>
      <c r="M293" s="146" t="s">
        <v>751</v>
      </c>
      <c r="N293" s="231"/>
      <c r="O293" s="172"/>
      <c r="P293" s="172">
        <v>29800000</v>
      </c>
      <c r="Q293" s="172">
        <v>8190000</v>
      </c>
      <c r="R293" s="172">
        <v>8190000</v>
      </c>
      <c r="S293" s="172">
        <v>8190000</v>
      </c>
      <c r="T293" s="172">
        <v>8190000</v>
      </c>
      <c r="U293" s="217"/>
      <c r="V293" s="172">
        <v>70750000</v>
      </c>
      <c r="W293" s="172">
        <f t="shared" si="21"/>
        <v>79240000.000000015</v>
      </c>
      <c r="X293" s="231"/>
      <c r="Y293" s="135" t="s">
        <v>692</v>
      </c>
      <c r="Z293" s="232"/>
      <c r="AD293" s="233"/>
      <c r="AE293" s="233"/>
      <c r="AF293" s="233"/>
      <c r="AG293" s="233"/>
    </row>
    <row r="294" spans="2:33" s="213" customFormat="1" ht="48" customHeight="1" x14ac:dyDescent="0.25">
      <c r="B294" s="82" t="s">
        <v>928</v>
      </c>
      <c r="C294" s="82" t="s">
        <v>2</v>
      </c>
      <c r="D294" s="82" t="s">
        <v>300</v>
      </c>
      <c r="E294" s="82" t="s">
        <v>301</v>
      </c>
      <c r="F294" s="82" t="s">
        <v>302</v>
      </c>
      <c r="G294" s="82" t="s">
        <v>753</v>
      </c>
      <c r="H294" s="82" t="s">
        <v>3</v>
      </c>
      <c r="I294" s="131">
        <v>0</v>
      </c>
      <c r="J294" s="132" t="s">
        <v>1070</v>
      </c>
      <c r="K294" s="55" t="s">
        <v>41</v>
      </c>
      <c r="L294" s="231"/>
      <c r="M294" s="146" t="s">
        <v>751</v>
      </c>
      <c r="N294" s="231"/>
      <c r="O294" s="172"/>
      <c r="P294" s="172">
        <v>3750000</v>
      </c>
      <c r="Q294" s="172">
        <v>4380000</v>
      </c>
      <c r="R294" s="172">
        <v>4380000</v>
      </c>
      <c r="S294" s="172">
        <v>4380000</v>
      </c>
      <c r="T294" s="172">
        <v>4380000</v>
      </c>
      <c r="U294" s="217"/>
      <c r="V294" s="172">
        <v>25650000</v>
      </c>
      <c r="W294" s="172">
        <f t="shared" si="21"/>
        <v>28728000.000000004</v>
      </c>
      <c r="X294" s="231"/>
      <c r="Y294" s="135" t="s">
        <v>692</v>
      </c>
      <c r="Z294" s="232"/>
      <c r="AD294" s="233"/>
      <c r="AE294" s="233"/>
      <c r="AF294" s="233"/>
      <c r="AG294" s="233"/>
    </row>
    <row r="295" spans="2:33" s="213" customFormat="1" ht="48" customHeight="1" x14ac:dyDescent="0.25">
      <c r="B295" s="82" t="s">
        <v>929</v>
      </c>
      <c r="C295" s="82" t="s">
        <v>2</v>
      </c>
      <c r="D295" s="82" t="s">
        <v>300</v>
      </c>
      <c r="E295" s="82" t="s">
        <v>301</v>
      </c>
      <c r="F295" s="82" t="s">
        <v>302</v>
      </c>
      <c r="G295" s="82" t="s">
        <v>754</v>
      </c>
      <c r="H295" s="82" t="s">
        <v>3</v>
      </c>
      <c r="I295" s="131">
        <v>0</v>
      </c>
      <c r="J295" s="132" t="s">
        <v>1070</v>
      </c>
      <c r="K295" s="55" t="s">
        <v>41</v>
      </c>
      <c r="L295" s="231"/>
      <c r="M295" s="146" t="s">
        <v>751</v>
      </c>
      <c r="N295" s="231"/>
      <c r="O295" s="172"/>
      <c r="P295" s="172">
        <v>12775000</v>
      </c>
      <c r="Q295" s="172">
        <v>3505000</v>
      </c>
      <c r="R295" s="172">
        <v>3505000</v>
      </c>
      <c r="S295" s="172">
        <v>3505000</v>
      </c>
      <c r="T295" s="172">
        <v>3505000</v>
      </c>
      <c r="U295" s="217"/>
      <c r="V295" s="172">
        <v>30300000</v>
      </c>
      <c r="W295" s="172">
        <f t="shared" si="21"/>
        <v>33936000</v>
      </c>
      <c r="X295" s="231"/>
      <c r="Y295" s="135" t="s">
        <v>692</v>
      </c>
      <c r="Z295" s="232"/>
      <c r="AD295" s="233"/>
      <c r="AE295" s="233"/>
      <c r="AF295" s="233"/>
      <c r="AG295" s="233"/>
    </row>
    <row r="296" spans="2:33" s="213" customFormat="1" ht="48" customHeight="1" x14ac:dyDescent="0.25">
      <c r="B296" s="82" t="s">
        <v>930</v>
      </c>
      <c r="C296" s="82" t="s">
        <v>2</v>
      </c>
      <c r="D296" s="82" t="s">
        <v>300</v>
      </c>
      <c r="E296" s="82" t="s">
        <v>301</v>
      </c>
      <c r="F296" s="82" t="s">
        <v>302</v>
      </c>
      <c r="G296" s="82" t="s">
        <v>755</v>
      </c>
      <c r="H296" s="82" t="s">
        <v>3</v>
      </c>
      <c r="I296" s="131">
        <v>0</v>
      </c>
      <c r="J296" s="132" t="s">
        <v>1064</v>
      </c>
      <c r="K296" s="55" t="s">
        <v>41</v>
      </c>
      <c r="L296" s="231"/>
      <c r="M296" s="146" t="s">
        <v>751</v>
      </c>
      <c r="N296" s="231"/>
      <c r="O296" s="172"/>
      <c r="P296" s="172">
        <v>119440000</v>
      </c>
      <c r="Q296" s="172">
        <v>79392000</v>
      </c>
      <c r="R296" s="172">
        <v>79392000</v>
      </c>
      <c r="S296" s="172">
        <v>79392000</v>
      </c>
      <c r="T296" s="172">
        <v>79392000</v>
      </c>
      <c r="U296" s="217"/>
      <c r="V296" s="172">
        <v>516400000</v>
      </c>
      <c r="W296" s="172">
        <f t="shared" si="21"/>
        <v>578368000</v>
      </c>
      <c r="X296" s="231"/>
      <c r="Y296" s="135" t="s">
        <v>692</v>
      </c>
      <c r="Z296" s="232"/>
      <c r="AD296" s="233"/>
      <c r="AE296" s="233"/>
      <c r="AF296" s="233"/>
      <c r="AG296" s="233"/>
    </row>
    <row r="297" spans="2:33" s="213" customFormat="1" ht="48" customHeight="1" x14ac:dyDescent="0.25">
      <c r="B297" s="82" t="s">
        <v>983</v>
      </c>
      <c r="C297" s="82" t="s">
        <v>2</v>
      </c>
      <c r="D297" s="275" t="s">
        <v>533</v>
      </c>
      <c r="E297" s="275" t="s">
        <v>534</v>
      </c>
      <c r="F297" s="275" t="s">
        <v>984</v>
      </c>
      <c r="G297" s="275" t="s">
        <v>985</v>
      </c>
      <c r="H297" s="82" t="s">
        <v>95</v>
      </c>
      <c r="I297" s="131">
        <v>100</v>
      </c>
      <c r="J297" s="132" t="s">
        <v>986</v>
      </c>
      <c r="K297" s="55" t="s">
        <v>41</v>
      </c>
      <c r="L297" s="231"/>
      <c r="M297" s="275" t="s">
        <v>987</v>
      </c>
      <c r="N297" s="231"/>
      <c r="O297" s="172"/>
      <c r="P297" s="172">
        <v>442400</v>
      </c>
      <c r="Q297" s="172">
        <v>758400</v>
      </c>
      <c r="R297" s="172"/>
      <c r="S297" s="172"/>
      <c r="T297" s="172"/>
      <c r="U297" s="217"/>
      <c r="V297" s="172">
        <v>1200800</v>
      </c>
      <c r="W297" s="172">
        <f t="shared" ref="W297:W309" si="22">V297*1.12</f>
        <v>1344896.0000000002</v>
      </c>
      <c r="X297" s="231"/>
      <c r="Y297" s="135" t="s">
        <v>692</v>
      </c>
      <c r="Z297" s="232"/>
      <c r="AD297" s="233"/>
      <c r="AE297" s="233"/>
      <c r="AF297" s="233"/>
      <c r="AG297" s="233"/>
    </row>
    <row r="298" spans="2:33" s="213" customFormat="1" ht="48" customHeight="1" x14ac:dyDescent="0.25">
      <c r="B298" s="82" t="s">
        <v>993</v>
      </c>
      <c r="C298" s="82" t="s">
        <v>2</v>
      </c>
      <c r="D298" s="276" t="s">
        <v>706</v>
      </c>
      <c r="E298" s="276" t="s">
        <v>707</v>
      </c>
      <c r="F298" s="276" t="s">
        <v>707</v>
      </c>
      <c r="G298" s="276" t="s">
        <v>994</v>
      </c>
      <c r="H298" s="82" t="s">
        <v>95</v>
      </c>
      <c r="I298" s="131">
        <v>0</v>
      </c>
      <c r="J298" s="132" t="s">
        <v>986</v>
      </c>
      <c r="K298" s="55" t="s">
        <v>41</v>
      </c>
      <c r="L298" s="231"/>
      <c r="M298" s="275" t="s">
        <v>995</v>
      </c>
      <c r="N298" s="231"/>
      <c r="O298" s="172"/>
      <c r="P298" s="277">
        <v>2459000</v>
      </c>
      <c r="Q298" s="277">
        <v>2500300</v>
      </c>
      <c r="R298" s="277">
        <v>2542500</v>
      </c>
      <c r="S298" s="172"/>
      <c r="T298" s="172"/>
      <c r="U298" s="217"/>
      <c r="V298" s="172">
        <v>7501800</v>
      </c>
      <c r="W298" s="172">
        <f t="shared" si="22"/>
        <v>8402016</v>
      </c>
      <c r="X298" s="231"/>
      <c r="Y298" s="135">
        <v>2014</v>
      </c>
      <c r="Z298" s="232"/>
      <c r="AD298" s="233"/>
      <c r="AE298" s="233"/>
      <c r="AF298" s="233"/>
      <c r="AG298" s="233"/>
    </row>
    <row r="299" spans="2:33" s="213" customFormat="1" ht="48" customHeight="1" x14ac:dyDescent="0.25">
      <c r="B299" s="82" t="s">
        <v>1001</v>
      </c>
      <c r="C299" s="82" t="s">
        <v>2</v>
      </c>
      <c r="D299" s="276" t="s">
        <v>997</v>
      </c>
      <c r="E299" s="276" t="s">
        <v>998</v>
      </c>
      <c r="F299" s="276" t="s">
        <v>998</v>
      </c>
      <c r="G299" s="276" t="s">
        <v>999</v>
      </c>
      <c r="H299" s="276" t="s">
        <v>95</v>
      </c>
      <c r="I299" s="276">
        <v>0</v>
      </c>
      <c r="J299" s="276" t="s">
        <v>986</v>
      </c>
      <c r="K299" s="276" t="s">
        <v>41</v>
      </c>
      <c r="L299" s="276"/>
      <c r="M299" s="279" t="s">
        <v>685</v>
      </c>
      <c r="N299" s="276"/>
      <c r="O299" s="278"/>
      <c r="P299" s="277">
        <v>72824</v>
      </c>
      <c r="Q299" s="277">
        <v>72824</v>
      </c>
      <c r="R299" s="277">
        <v>72824</v>
      </c>
      <c r="S299" s="277">
        <v>72824</v>
      </c>
      <c r="T299" s="277">
        <v>72824</v>
      </c>
      <c r="U299" s="277"/>
      <c r="V299" s="311">
        <v>0</v>
      </c>
      <c r="W299" s="172">
        <f t="shared" si="22"/>
        <v>0</v>
      </c>
      <c r="X299" s="231"/>
      <c r="Y299" s="135">
        <v>2014</v>
      </c>
      <c r="Z299" s="135" t="s">
        <v>996</v>
      </c>
      <c r="AD299" s="233"/>
      <c r="AE299" s="233"/>
      <c r="AF299" s="233"/>
      <c r="AG299" s="233"/>
    </row>
    <row r="300" spans="2:33" s="213" customFormat="1" ht="48" customHeight="1" x14ac:dyDescent="0.25">
      <c r="B300" s="82" t="s">
        <v>1002</v>
      </c>
      <c r="C300" s="82" t="s">
        <v>2</v>
      </c>
      <c r="D300" s="276" t="s">
        <v>614</v>
      </c>
      <c r="E300" s="276" t="s">
        <v>615</v>
      </c>
      <c r="F300" s="276" t="s">
        <v>616</v>
      </c>
      <c r="G300" s="276" t="s">
        <v>1000</v>
      </c>
      <c r="H300" s="276" t="s">
        <v>95</v>
      </c>
      <c r="I300" s="276">
        <v>0</v>
      </c>
      <c r="J300" s="276" t="s">
        <v>986</v>
      </c>
      <c r="K300" s="276" t="s">
        <v>41</v>
      </c>
      <c r="L300" s="276"/>
      <c r="M300" s="279" t="s">
        <v>685</v>
      </c>
      <c r="N300" s="276"/>
      <c r="O300" s="278"/>
      <c r="P300" s="277">
        <f>100133*12</f>
        <v>1201596</v>
      </c>
      <c r="Q300" s="277">
        <f>100133*12</f>
        <v>1201596</v>
      </c>
      <c r="R300" s="277">
        <f>100133*12</f>
        <v>1201596</v>
      </c>
      <c r="S300" s="277">
        <f>100133*12</f>
        <v>1201596</v>
      </c>
      <c r="T300" s="277">
        <f>100133*12</f>
        <v>1201596</v>
      </c>
      <c r="U300" s="277"/>
      <c r="V300" s="311">
        <v>0</v>
      </c>
      <c r="W300" s="172">
        <f t="shared" si="22"/>
        <v>0</v>
      </c>
      <c r="X300" s="231"/>
      <c r="Y300" s="135">
        <v>2014</v>
      </c>
      <c r="Z300" s="135" t="s">
        <v>996</v>
      </c>
      <c r="AD300" s="233"/>
      <c r="AE300" s="233"/>
      <c r="AF300" s="233"/>
      <c r="AG300" s="233"/>
    </row>
    <row r="301" spans="2:33" s="213" customFormat="1" ht="48" customHeight="1" x14ac:dyDescent="0.25">
      <c r="B301" s="82" t="s">
        <v>1003</v>
      </c>
      <c r="C301" s="82" t="s">
        <v>2</v>
      </c>
      <c r="D301" s="276" t="s">
        <v>539</v>
      </c>
      <c r="E301" s="276" t="s">
        <v>540</v>
      </c>
      <c r="F301" s="276" t="s">
        <v>540</v>
      </c>
      <c r="G301" s="276" t="s">
        <v>1004</v>
      </c>
      <c r="H301" s="276" t="s">
        <v>3</v>
      </c>
      <c r="I301" s="276">
        <v>100</v>
      </c>
      <c r="J301" s="276" t="s">
        <v>1069</v>
      </c>
      <c r="K301" s="276" t="s">
        <v>340</v>
      </c>
      <c r="L301" s="276"/>
      <c r="M301" s="276" t="s">
        <v>709</v>
      </c>
      <c r="N301" s="276"/>
      <c r="O301" s="278"/>
      <c r="P301" s="280">
        <v>0</v>
      </c>
      <c r="Q301" s="280">
        <v>0</v>
      </c>
      <c r="R301" s="280">
        <v>0</v>
      </c>
      <c r="S301" s="277"/>
      <c r="T301" s="277"/>
      <c r="U301" s="277"/>
      <c r="V301" s="311">
        <v>0</v>
      </c>
      <c r="W301" s="172">
        <f t="shared" si="22"/>
        <v>0</v>
      </c>
      <c r="X301" s="231"/>
      <c r="Y301" s="135">
        <v>2014</v>
      </c>
      <c r="Z301" s="135" t="s">
        <v>996</v>
      </c>
      <c r="AD301" s="233"/>
      <c r="AE301" s="233"/>
      <c r="AF301" s="233"/>
      <c r="AG301" s="233"/>
    </row>
    <row r="302" spans="2:33" s="213" customFormat="1" ht="48" customHeight="1" x14ac:dyDescent="0.25">
      <c r="B302" s="82" t="s">
        <v>1273</v>
      </c>
      <c r="C302" s="82" t="s">
        <v>2</v>
      </c>
      <c r="D302" s="276" t="s">
        <v>539</v>
      </c>
      <c r="E302" s="276" t="s">
        <v>540</v>
      </c>
      <c r="F302" s="276" t="s">
        <v>540</v>
      </c>
      <c r="G302" s="276" t="s">
        <v>1274</v>
      </c>
      <c r="H302" s="276" t="s">
        <v>3</v>
      </c>
      <c r="I302" s="276">
        <v>100</v>
      </c>
      <c r="J302" s="276" t="s">
        <v>1069</v>
      </c>
      <c r="K302" s="276" t="s">
        <v>340</v>
      </c>
      <c r="L302" s="276"/>
      <c r="M302" s="276" t="s">
        <v>709</v>
      </c>
      <c r="N302" s="276"/>
      <c r="O302" s="278"/>
      <c r="P302" s="280">
        <v>20308447.390000001</v>
      </c>
      <c r="Q302" s="280">
        <v>0</v>
      </c>
      <c r="R302" s="280">
        <v>0</v>
      </c>
      <c r="S302" s="277"/>
      <c r="T302" s="277"/>
      <c r="U302" s="277"/>
      <c r="V302" s="311">
        <v>20308447.390000001</v>
      </c>
      <c r="W302" s="172">
        <v>20308447.390000001</v>
      </c>
      <c r="X302" s="231"/>
      <c r="Y302" s="135">
        <v>2014</v>
      </c>
      <c r="Z302" s="232"/>
      <c r="AD302" s="233"/>
      <c r="AE302" s="233"/>
      <c r="AF302" s="233"/>
      <c r="AG302" s="233"/>
    </row>
    <row r="303" spans="2:33" s="213" customFormat="1" ht="48" customHeight="1" x14ac:dyDescent="0.25">
      <c r="B303" s="82" t="s">
        <v>1005</v>
      </c>
      <c r="C303" s="82" t="s">
        <v>2</v>
      </c>
      <c r="D303" s="281" t="s">
        <v>574</v>
      </c>
      <c r="E303" s="281" t="s">
        <v>575</v>
      </c>
      <c r="F303" s="281" t="s">
        <v>575</v>
      </c>
      <c r="G303" s="281" t="s">
        <v>1007</v>
      </c>
      <c r="H303" s="276" t="s">
        <v>3</v>
      </c>
      <c r="I303" s="276">
        <v>0</v>
      </c>
      <c r="J303" s="276" t="s">
        <v>1009</v>
      </c>
      <c r="K303" s="282" t="s">
        <v>1010</v>
      </c>
      <c r="L303" s="276"/>
      <c r="M303" s="146" t="s">
        <v>638</v>
      </c>
      <c r="N303" s="276"/>
      <c r="O303" s="278"/>
      <c r="P303" s="280">
        <v>28550000</v>
      </c>
      <c r="Q303" s="280">
        <v>63573642</v>
      </c>
      <c r="R303" s="280">
        <v>71922087</v>
      </c>
      <c r="S303" s="277"/>
      <c r="T303" s="277"/>
      <c r="U303" s="277"/>
      <c r="V303" s="312">
        <v>164045729</v>
      </c>
      <c r="W303" s="172">
        <f t="shared" si="22"/>
        <v>183731216.48000002</v>
      </c>
      <c r="X303" s="231"/>
      <c r="Y303" s="135">
        <v>2014</v>
      </c>
      <c r="Z303" s="232"/>
      <c r="AD303" s="233"/>
      <c r="AE303" s="233"/>
      <c r="AF303" s="233"/>
      <c r="AG303" s="233"/>
    </row>
    <row r="304" spans="2:33" s="213" customFormat="1" ht="48" customHeight="1" x14ac:dyDescent="0.25">
      <c r="B304" s="82" t="s">
        <v>1006</v>
      </c>
      <c r="C304" s="82" t="s">
        <v>2</v>
      </c>
      <c r="D304" s="283" t="s">
        <v>574</v>
      </c>
      <c r="E304" s="283" t="s">
        <v>575</v>
      </c>
      <c r="F304" s="283" t="s">
        <v>575</v>
      </c>
      <c r="G304" s="283" t="s">
        <v>1008</v>
      </c>
      <c r="H304" s="276" t="s">
        <v>3</v>
      </c>
      <c r="I304" s="276">
        <v>0</v>
      </c>
      <c r="J304" s="276" t="s">
        <v>1009</v>
      </c>
      <c r="K304" s="282" t="s">
        <v>1011</v>
      </c>
      <c r="L304" s="276"/>
      <c r="M304" s="146" t="s">
        <v>638</v>
      </c>
      <c r="N304" s="276"/>
      <c r="O304" s="278"/>
      <c r="P304" s="280">
        <v>8396890</v>
      </c>
      <c r="Q304" s="280">
        <v>30619431</v>
      </c>
      <c r="R304" s="280">
        <v>32142393</v>
      </c>
      <c r="S304" s="277"/>
      <c r="T304" s="277"/>
      <c r="U304" s="277"/>
      <c r="V304" s="312">
        <v>71158714</v>
      </c>
      <c r="W304" s="172">
        <f t="shared" si="22"/>
        <v>79697759.680000007</v>
      </c>
      <c r="X304" s="231"/>
      <c r="Y304" s="135">
        <v>2014</v>
      </c>
      <c r="Z304" s="232"/>
      <c r="AD304" s="233"/>
      <c r="AE304" s="233"/>
      <c r="AF304" s="233"/>
      <c r="AG304" s="233"/>
    </row>
    <row r="305" spans="2:33" s="213" customFormat="1" ht="48" customHeight="1" x14ac:dyDescent="0.25">
      <c r="B305" s="82" t="s">
        <v>1012</v>
      </c>
      <c r="C305" s="82" t="s">
        <v>2</v>
      </c>
      <c r="D305" s="275" t="s">
        <v>744</v>
      </c>
      <c r="E305" s="275" t="s">
        <v>745</v>
      </c>
      <c r="F305" s="275" t="s">
        <v>745</v>
      </c>
      <c r="G305" s="275" t="s">
        <v>1013</v>
      </c>
      <c r="H305" s="276" t="s">
        <v>95</v>
      </c>
      <c r="I305" s="286">
        <v>0</v>
      </c>
      <c r="J305" s="276" t="s">
        <v>474</v>
      </c>
      <c r="K305" s="284" t="s">
        <v>1014</v>
      </c>
      <c r="L305" s="276"/>
      <c r="M305" s="146" t="s">
        <v>638</v>
      </c>
      <c r="N305" s="276"/>
      <c r="O305" s="278"/>
      <c r="P305" s="277">
        <f>1200000*10</f>
        <v>12000000</v>
      </c>
      <c r="Q305" s="277">
        <f>1200000*5</f>
        <v>6000000</v>
      </c>
      <c r="R305" s="280"/>
      <c r="S305" s="277"/>
      <c r="T305" s="277"/>
      <c r="U305" s="277"/>
      <c r="V305" s="310">
        <v>18000000</v>
      </c>
      <c r="W305" s="172">
        <f t="shared" si="22"/>
        <v>20160000.000000004</v>
      </c>
      <c r="X305" s="231"/>
      <c r="Y305" s="135">
        <v>2014</v>
      </c>
      <c r="Z305" s="232"/>
      <c r="AD305" s="233"/>
      <c r="AE305" s="233"/>
      <c r="AF305" s="233"/>
      <c r="AG305" s="233"/>
    </row>
    <row r="306" spans="2:33" s="213" customFormat="1" ht="48" customHeight="1" x14ac:dyDescent="0.25">
      <c r="B306" s="82" t="s">
        <v>1073</v>
      </c>
      <c r="C306" s="82" t="s">
        <v>2</v>
      </c>
      <c r="D306" s="275" t="s">
        <v>706</v>
      </c>
      <c r="E306" s="275" t="s">
        <v>707</v>
      </c>
      <c r="F306" s="275" t="s">
        <v>707</v>
      </c>
      <c r="G306" s="275" t="s">
        <v>1072</v>
      </c>
      <c r="H306" s="276" t="s">
        <v>95</v>
      </c>
      <c r="I306" s="286">
        <v>0</v>
      </c>
      <c r="J306" s="276" t="s">
        <v>474</v>
      </c>
      <c r="K306" s="275" t="s">
        <v>1074</v>
      </c>
      <c r="L306" s="288"/>
      <c r="M306" s="289" t="s">
        <v>747</v>
      </c>
      <c r="N306" s="288"/>
      <c r="O306" s="290"/>
      <c r="P306" s="291">
        <v>392600</v>
      </c>
      <c r="Q306" s="291">
        <v>392600</v>
      </c>
      <c r="R306" s="291">
        <v>392600</v>
      </c>
      <c r="S306" s="291">
        <v>392600</v>
      </c>
      <c r="T306" s="291">
        <v>392600</v>
      </c>
      <c r="U306" s="285"/>
      <c r="V306" s="313">
        <v>1963000</v>
      </c>
      <c r="W306" s="292">
        <f t="shared" si="22"/>
        <v>2198560</v>
      </c>
      <c r="X306" s="293"/>
      <c r="Y306" s="294">
        <v>2014</v>
      </c>
      <c r="Z306" s="295"/>
      <c r="AD306" s="233"/>
      <c r="AE306" s="233"/>
      <c r="AF306" s="233"/>
      <c r="AG306" s="233"/>
    </row>
    <row r="307" spans="2:33" s="213" customFormat="1" ht="48" customHeight="1" x14ac:dyDescent="0.25">
      <c r="B307" s="82" t="s">
        <v>1075</v>
      </c>
      <c r="C307" s="287" t="s">
        <v>1076</v>
      </c>
      <c r="D307" s="300" t="s">
        <v>295</v>
      </c>
      <c r="E307" s="160" t="s">
        <v>296</v>
      </c>
      <c r="F307" s="160" t="s">
        <v>296</v>
      </c>
      <c r="G307" s="305" t="s">
        <v>580</v>
      </c>
      <c r="H307" s="300" t="s">
        <v>3</v>
      </c>
      <c r="I307" s="296">
        <v>0</v>
      </c>
      <c r="J307" s="297" t="s">
        <v>1083</v>
      </c>
      <c r="K307" s="298" t="s">
        <v>1077</v>
      </c>
      <c r="L307" s="288"/>
      <c r="M307" s="299" t="s">
        <v>638</v>
      </c>
      <c r="N307" s="288"/>
      <c r="O307" s="290"/>
      <c r="P307" s="291">
        <v>123480000</v>
      </c>
      <c r="Q307" s="291">
        <v>211680000</v>
      </c>
      <c r="R307" s="291">
        <v>211680000</v>
      </c>
      <c r="S307" s="291"/>
      <c r="T307" s="291"/>
      <c r="U307" s="291"/>
      <c r="V307" s="314">
        <v>546840000</v>
      </c>
      <c r="W307" s="292">
        <f t="shared" si="22"/>
        <v>612460800</v>
      </c>
      <c r="X307" s="293"/>
      <c r="Y307" s="294">
        <v>2014</v>
      </c>
      <c r="Z307" s="295"/>
      <c r="AD307" s="233"/>
      <c r="AE307" s="233"/>
      <c r="AF307" s="233"/>
      <c r="AG307" s="233"/>
    </row>
    <row r="308" spans="2:33" s="213" customFormat="1" ht="48" customHeight="1" x14ac:dyDescent="0.25">
      <c r="B308" s="160" t="s">
        <v>1079</v>
      </c>
      <c r="C308" s="287" t="s">
        <v>1076</v>
      </c>
      <c r="D308" s="284" t="s">
        <v>724</v>
      </c>
      <c r="E308" s="284" t="s">
        <v>1080</v>
      </c>
      <c r="F308" s="284" t="s">
        <v>1081</v>
      </c>
      <c r="G308" s="284" t="s">
        <v>1078</v>
      </c>
      <c r="H308" s="276" t="s">
        <v>95</v>
      </c>
      <c r="I308" s="286">
        <v>0</v>
      </c>
      <c r="J308" s="276" t="s">
        <v>1009</v>
      </c>
      <c r="K308" s="275" t="s">
        <v>1084</v>
      </c>
      <c r="L308" s="279"/>
      <c r="M308" s="299" t="s">
        <v>638</v>
      </c>
      <c r="N308" s="279"/>
      <c r="O308" s="303"/>
      <c r="P308" s="277">
        <v>774585</v>
      </c>
      <c r="Q308" s="277">
        <v>1327860</v>
      </c>
      <c r="R308" s="301"/>
      <c r="S308" s="301"/>
      <c r="T308" s="301"/>
      <c r="U308" s="301"/>
      <c r="V308" s="310">
        <v>2102445</v>
      </c>
      <c r="W308" s="302">
        <f t="shared" si="22"/>
        <v>2354738.4000000004</v>
      </c>
      <c r="X308" s="231"/>
      <c r="Y308" s="294">
        <v>2014</v>
      </c>
      <c r="Z308" s="304"/>
      <c r="AD308" s="233"/>
      <c r="AE308" s="233"/>
      <c r="AF308" s="233"/>
      <c r="AG308" s="233"/>
    </row>
    <row r="309" spans="2:33" s="213" customFormat="1" ht="48" customHeight="1" x14ac:dyDescent="0.25">
      <c r="B309" s="160" t="s">
        <v>1082</v>
      </c>
      <c r="C309" s="287" t="s">
        <v>1076</v>
      </c>
      <c r="D309" s="284" t="s">
        <v>724</v>
      </c>
      <c r="E309" s="284" t="s">
        <v>1080</v>
      </c>
      <c r="F309" s="284" t="s">
        <v>1081</v>
      </c>
      <c r="G309" s="284" t="s">
        <v>1078</v>
      </c>
      <c r="H309" s="276" t="s">
        <v>95</v>
      </c>
      <c r="I309" s="286">
        <v>0</v>
      </c>
      <c r="J309" s="276" t="s">
        <v>1009</v>
      </c>
      <c r="K309" s="275" t="s">
        <v>1085</v>
      </c>
      <c r="L309" s="279"/>
      <c r="M309" s="299" t="s">
        <v>638</v>
      </c>
      <c r="N309" s="279"/>
      <c r="O309" s="303"/>
      <c r="P309" s="277">
        <v>503930</v>
      </c>
      <c r="Q309" s="277">
        <v>863880</v>
      </c>
      <c r="R309" s="301"/>
      <c r="S309" s="301"/>
      <c r="T309" s="301"/>
      <c r="U309" s="301"/>
      <c r="V309" s="310">
        <v>1367810</v>
      </c>
      <c r="W309" s="302">
        <f t="shared" si="22"/>
        <v>1531947.2000000002</v>
      </c>
      <c r="X309" s="231"/>
      <c r="Y309" s="294">
        <v>2014</v>
      </c>
      <c r="Z309" s="304"/>
      <c r="AD309" s="233"/>
      <c r="AE309" s="233"/>
      <c r="AF309" s="233"/>
      <c r="AG309" s="233"/>
    </row>
    <row r="310" spans="2:33" s="213" customFormat="1" ht="48" customHeight="1" x14ac:dyDescent="0.25">
      <c r="B310" s="160" t="s">
        <v>1091</v>
      </c>
      <c r="C310" s="287" t="s">
        <v>1076</v>
      </c>
      <c r="D310" s="306" t="s">
        <v>539</v>
      </c>
      <c r="E310" s="306" t="s">
        <v>540</v>
      </c>
      <c r="F310" s="306" t="s">
        <v>540</v>
      </c>
      <c r="G310" s="307" t="s">
        <v>1092</v>
      </c>
      <c r="H310" s="276" t="s">
        <v>95</v>
      </c>
      <c r="I310" s="286">
        <v>100</v>
      </c>
      <c r="J310" s="276" t="s">
        <v>1009</v>
      </c>
      <c r="K310" s="275" t="s">
        <v>556</v>
      </c>
      <c r="L310" s="279"/>
      <c r="M310" s="308" t="s">
        <v>1093</v>
      </c>
      <c r="N310" s="279"/>
      <c r="O310" s="303"/>
      <c r="P310" s="309">
        <v>4881377</v>
      </c>
      <c r="Q310" s="309">
        <v>7322065</v>
      </c>
      <c r="R310" s="309">
        <v>7322065</v>
      </c>
      <c r="S310" s="315">
        <v>7322065</v>
      </c>
      <c r="T310" s="316"/>
      <c r="U310" s="316"/>
      <c r="V310" s="314">
        <v>26847572</v>
      </c>
      <c r="W310" s="317">
        <f t="shared" ref="W310:W311" si="23">V310*1.12</f>
        <v>30069280.640000004</v>
      </c>
      <c r="X310" s="293"/>
      <c r="Y310" s="294">
        <v>2014</v>
      </c>
      <c r="Z310" s="318"/>
      <c r="AD310" s="233"/>
      <c r="AE310" s="233"/>
      <c r="AF310" s="233"/>
      <c r="AG310" s="233"/>
    </row>
    <row r="311" spans="2:33" s="213" customFormat="1" ht="48" customHeight="1" x14ac:dyDescent="0.25">
      <c r="B311" s="160" t="s">
        <v>1094</v>
      </c>
      <c r="C311" s="287" t="s">
        <v>1076</v>
      </c>
      <c r="D311" s="306" t="s">
        <v>697</v>
      </c>
      <c r="E311" s="306" t="s">
        <v>698</v>
      </c>
      <c r="F311" s="306" t="s">
        <v>698</v>
      </c>
      <c r="G311" s="307" t="s">
        <v>1095</v>
      </c>
      <c r="H311" s="286" t="s">
        <v>95</v>
      </c>
      <c r="I311" s="286">
        <v>0</v>
      </c>
      <c r="J311" s="276" t="s">
        <v>1009</v>
      </c>
      <c r="K311" s="275" t="s">
        <v>469</v>
      </c>
      <c r="L311" s="279"/>
      <c r="M311" s="308" t="s">
        <v>58</v>
      </c>
      <c r="N311" s="279"/>
      <c r="O311" s="303"/>
      <c r="P311" s="309">
        <v>18283</v>
      </c>
      <c r="Q311" s="309">
        <v>27424</v>
      </c>
      <c r="R311" s="309">
        <v>27424</v>
      </c>
      <c r="S311" s="309"/>
      <c r="T311" s="301"/>
      <c r="U311" s="301"/>
      <c r="V311" s="310">
        <v>73131</v>
      </c>
      <c r="W311" s="302">
        <f t="shared" si="23"/>
        <v>81906.720000000001</v>
      </c>
      <c r="X311" s="231"/>
      <c r="Y311" s="135">
        <v>2014</v>
      </c>
      <c r="Z311" s="304"/>
      <c r="AD311" s="233"/>
      <c r="AE311" s="233"/>
      <c r="AF311" s="233"/>
      <c r="AG311" s="233"/>
    </row>
    <row r="312" spans="2:33" s="213" customFormat="1" ht="48" customHeight="1" x14ac:dyDescent="0.25">
      <c r="B312" s="160" t="s">
        <v>1096</v>
      </c>
      <c r="C312" s="287" t="s">
        <v>1076</v>
      </c>
      <c r="D312" s="319" t="s">
        <v>533</v>
      </c>
      <c r="E312" s="319" t="s">
        <v>534</v>
      </c>
      <c r="F312" s="319" t="s">
        <v>984</v>
      </c>
      <c r="G312" s="319" t="s">
        <v>1097</v>
      </c>
      <c r="H312" s="286" t="s">
        <v>95</v>
      </c>
      <c r="I312" s="286">
        <v>100</v>
      </c>
      <c r="J312" s="276" t="s">
        <v>1009</v>
      </c>
      <c r="K312" s="275" t="s">
        <v>1098</v>
      </c>
      <c r="L312" s="279"/>
      <c r="M312" s="146" t="s">
        <v>638</v>
      </c>
      <c r="N312" s="279"/>
      <c r="O312" s="303"/>
      <c r="P312" s="309">
        <v>43897</v>
      </c>
      <c r="Q312" s="309">
        <v>75252</v>
      </c>
      <c r="R312" s="309"/>
      <c r="S312" s="309"/>
      <c r="T312" s="301"/>
      <c r="U312" s="301"/>
      <c r="V312" s="310">
        <v>119149</v>
      </c>
      <c r="W312" s="302">
        <f t="shared" ref="W312" si="24">V312*1.12</f>
        <v>133446.88</v>
      </c>
      <c r="X312" s="231"/>
      <c r="Y312" s="135">
        <v>2014</v>
      </c>
      <c r="Z312" s="304"/>
      <c r="AD312" s="233"/>
      <c r="AE312" s="233"/>
      <c r="AF312" s="233"/>
      <c r="AG312" s="233"/>
    </row>
    <row r="313" spans="2:33" s="213" customFormat="1" ht="48" customHeight="1" x14ac:dyDescent="0.25">
      <c r="B313" s="160" t="s">
        <v>1099</v>
      </c>
      <c r="C313" s="287" t="s">
        <v>1076</v>
      </c>
      <c r="D313" s="320" t="s">
        <v>676</v>
      </c>
      <c r="E313" s="320" t="s">
        <v>677</v>
      </c>
      <c r="F313" s="320" t="s">
        <v>677</v>
      </c>
      <c r="G313" s="320" t="s">
        <v>1100</v>
      </c>
      <c r="H313" s="286" t="s">
        <v>3</v>
      </c>
      <c r="I313" s="286">
        <v>0</v>
      </c>
      <c r="J313" s="276" t="s">
        <v>1034</v>
      </c>
      <c r="K313" s="275" t="s">
        <v>1074</v>
      </c>
      <c r="L313" s="279"/>
      <c r="M313" s="146" t="s">
        <v>1101</v>
      </c>
      <c r="N313" s="279"/>
      <c r="O313" s="303"/>
      <c r="P313" s="311">
        <v>22539660</v>
      </c>
      <c r="Q313" s="311">
        <v>16691255</v>
      </c>
      <c r="R313" s="311">
        <v>11588955</v>
      </c>
      <c r="S313" s="311">
        <v>6038955</v>
      </c>
      <c r="T313" s="311">
        <v>6038955</v>
      </c>
      <c r="U313" s="301"/>
      <c r="V313" s="310">
        <v>62897780</v>
      </c>
      <c r="W313" s="302">
        <f t="shared" ref="W313:W315" si="25">V313*1.12</f>
        <v>70445513.600000009</v>
      </c>
      <c r="X313" s="231"/>
      <c r="Y313" s="135">
        <v>2014</v>
      </c>
      <c r="Z313" s="304"/>
      <c r="AD313" s="233"/>
      <c r="AE313" s="233"/>
      <c r="AF313" s="233"/>
      <c r="AG313" s="233"/>
    </row>
    <row r="314" spans="2:33" s="213" customFormat="1" ht="48" customHeight="1" x14ac:dyDescent="0.25">
      <c r="B314" s="160" t="s">
        <v>1106</v>
      </c>
      <c r="C314" s="287" t="s">
        <v>1076</v>
      </c>
      <c r="D314" s="306" t="s">
        <v>539</v>
      </c>
      <c r="E314" s="306" t="s">
        <v>540</v>
      </c>
      <c r="F314" s="306" t="s">
        <v>540</v>
      </c>
      <c r="G314" s="307" t="s">
        <v>1107</v>
      </c>
      <c r="H314" s="296" t="s">
        <v>3</v>
      </c>
      <c r="I314" s="296">
        <v>100</v>
      </c>
      <c r="J314" s="288" t="s">
        <v>1108</v>
      </c>
      <c r="K314" s="337" t="s">
        <v>1098</v>
      </c>
      <c r="L314" s="338"/>
      <c r="M314" s="299" t="s">
        <v>638</v>
      </c>
      <c r="N314" s="338"/>
      <c r="O314" s="339"/>
      <c r="P314" s="340">
        <v>9121875</v>
      </c>
      <c r="Q314" s="340">
        <v>15637500</v>
      </c>
      <c r="R314" s="340">
        <v>15637500</v>
      </c>
      <c r="S314" s="340"/>
      <c r="T314" s="340"/>
      <c r="U314" s="316"/>
      <c r="V314" s="314">
        <v>40396875</v>
      </c>
      <c r="W314" s="317">
        <f t="shared" si="25"/>
        <v>45244500.000000007</v>
      </c>
      <c r="X314" s="293"/>
      <c r="Y314" s="294">
        <v>2014</v>
      </c>
      <c r="Z314" s="318"/>
      <c r="AD314" s="233"/>
      <c r="AE314" s="233"/>
      <c r="AF314" s="233"/>
      <c r="AG314" s="233"/>
    </row>
    <row r="315" spans="2:33" s="213" customFormat="1" ht="48" customHeight="1" x14ac:dyDescent="0.25">
      <c r="B315" s="160" t="s">
        <v>1122</v>
      </c>
      <c r="C315" s="287" t="s">
        <v>1076</v>
      </c>
      <c r="D315" s="336" t="s">
        <v>1123</v>
      </c>
      <c r="E315" s="336" t="s">
        <v>1124</v>
      </c>
      <c r="F315" s="336" t="s">
        <v>1124</v>
      </c>
      <c r="G315" s="336" t="s">
        <v>1125</v>
      </c>
      <c r="H315" s="296" t="s">
        <v>1129</v>
      </c>
      <c r="I315" s="296">
        <v>0</v>
      </c>
      <c r="J315" s="288" t="s">
        <v>1051</v>
      </c>
      <c r="K315" s="337" t="s">
        <v>1098</v>
      </c>
      <c r="L315" s="279"/>
      <c r="M315" s="341" t="s">
        <v>1126</v>
      </c>
      <c r="N315" s="279"/>
      <c r="O315" s="303"/>
      <c r="P315" s="342">
        <v>1486207000</v>
      </c>
      <c r="Q315" s="342">
        <v>1661307000</v>
      </c>
      <c r="R315" s="342">
        <v>1227486000</v>
      </c>
      <c r="S315" s="342">
        <v>1115000000</v>
      </c>
      <c r="T315" s="311"/>
      <c r="U315" s="301"/>
      <c r="V315" s="310">
        <v>0</v>
      </c>
      <c r="W315" s="302">
        <f t="shared" si="25"/>
        <v>0</v>
      </c>
      <c r="X315" s="231"/>
      <c r="Y315" s="135">
        <v>2014</v>
      </c>
      <c r="Z315" s="317" t="s">
        <v>996</v>
      </c>
      <c r="AD315" s="233"/>
      <c r="AE315" s="233"/>
      <c r="AF315" s="233"/>
      <c r="AG315" s="233"/>
    </row>
    <row r="316" spans="2:33" s="213" customFormat="1" ht="48" customHeight="1" x14ac:dyDescent="0.25">
      <c r="B316" s="160" t="s">
        <v>1128</v>
      </c>
      <c r="C316" s="287" t="s">
        <v>1076</v>
      </c>
      <c r="D316" s="336" t="s">
        <v>1123</v>
      </c>
      <c r="E316" s="336" t="s">
        <v>1124</v>
      </c>
      <c r="F316" s="336" t="s">
        <v>1124</v>
      </c>
      <c r="G316" s="336" t="s">
        <v>1125</v>
      </c>
      <c r="H316" s="296" t="s">
        <v>3</v>
      </c>
      <c r="I316" s="296">
        <v>0</v>
      </c>
      <c r="J316" s="288" t="s">
        <v>1051</v>
      </c>
      <c r="K316" s="337" t="s">
        <v>1098</v>
      </c>
      <c r="L316" s="279"/>
      <c r="M316" s="341" t="s">
        <v>1126</v>
      </c>
      <c r="N316" s="279"/>
      <c r="O316" s="303"/>
      <c r="P316" s="342">
        <v>1486207000</v>
      </c>
      <c r="Q316" s="342">
        <v>1661307000</v>
      </c>
      <c r="R316" s="342">
        <v>1227486000</v>
      </c>
      <c r="S316" s="342">
        <v>1115000000</v>
      </c>
      <c r="T316" s="311"/>
      <c r="U316" s="301"/>
      <c r="V316" s="310">
        <v>5490000000</v>
      </c>
      <c r="W316" s="302">
        <f t="shared" ref="W316:W317" si="26">V316*1.12</f>
        <v>6148800000.000001</v>
      </c>
      <c r="X316" s="231"/>
      <c r="Y316" s="135">
        <v>2014</v>
      </c>
      <c r="Z316" s="304"/>
      <c r="AD316" s="233"/>
      <c r="AE316" s="233"/>
      <c r="AF316" s="233"/>
      <c r="AG316" s="233"/>
    </row>
    <row r="317" spans="2:33" s="213" customFormat="1" ht="48" customHeight="1" x14ac:dyDescent="0.25">
      <c r="B317" s="160" t="s">
        <v>1130</v>
      </c>
      <c r="C317" s="287" t="s">
        <v>1076</v>
      </c>
      <c r="D317" s="343" t="s">
        <v>295</v>
      </c>
      <c r="E317" s="343" t="s">
        <v>296</v>
      </c>
      <c r="F317" s="343" t="s">
        <v>296</v>
      </c>
      <c r="G317" s="343" t="s">
        <v>1131</v>
      </c>
      <c r="H317" s="286" t="s">
        <v>95</v>
      </c>
      <c r="I317" s="296">
        <v>0</v>
      </c>
      <c r="J317" s="288" t="s">
        <v>1158</v>
      </c>
      <c r="K317" s="344" t="s">
        <v>667</v>
      </c>
      <c r="L317" s="279"/>
      <c r="M317" s="345" t="s">
        <v>1132</v>
      </c>
      <c r="N317" s="279"/>
      <c r="O317" s="303"/>
      <c r="P317" s="342">
        <v>95000000</v>
      </c>
      <c r="Q317" s="342">
        <v>95000000</v>
      </c>
      <c r="R317" s="342"/>
      <c r="S317" s="342"/>
      <c r="T317" s="311"/>
      <c r="U317" s="301"/>
      <c r="V317" s="310">
        <v>190000000</v>
      </c>
      <c r="W317" s="302">
        <f t="shared" si="26"/>
        <v>212800000.00000003</v>
      </c>
      <c r="X317" s="231"/>
      <c r="Y317" s="135">
        <v>2014</v>
      </c>
      <c r="Z317" s="304"/>
      <c r="AD317" s="233"/>
      <c r="AE317" s="233"/>
      <c r="AF317" s="233"/>
      <c r="AG317" s="233"/>
    </row>
    <row r="318" spans="2:33" s="213" customFormat="1" ht="48" customHeight="1" x14ac:dyDescent="0.25">
      <c r="B318" s="160" t="s">
        <v>1133</v>
      </c>
      <c r="C318" s="287" t="s">
        <v>1076</v>
      </c>
      <c r="D318" s="82" t="s">
        <v>1138</v>
      </c>
      <c r="E318" s="82" t="s">
        <v>1139</v>
      </c>
      <c r="F318" s="82" t="s">
        <v>1139</v>
      </c>
      <c r="G318" s="82" t="s">
        <v>1140</v>
      </c>
      <c r="H318" s="286" t="s">
        <v>3</v>
      </c>
      <c r="I318" s="296">
        <v>0</v>
      </c>
      <c r="J318" s="288" t="s">
        <v>1044</v>
      </c>
      <c r="K318" s="82" t="s">
        <v>1145</v>
      </c>
      <c r="L318" s="279"/>
      <c r="M318" s="345" t="s">
        <v>1132</v>
      </c>
      <c r="N318" s="279"/>
      <c r="O318" s="303"/>
      <c r="P318" s="88">
        <v>2880000</v>
      </c>
      <c r="Q318" s="88">
        <v>5760000</v>
      </c>
      <c r="R318" s="88">
        <v>5760000</v>
      </c>
      <c r="S318" s="342"/>
      <c r="T318" s="311"/>
      <c r="U318" s="301"/>
      <c r="V318" s="88">
        <f>O318+P318+Q318+R318+S318</f>
        <v>14400000</v>
      </c>
      <c r="W318" s="302">
        <f t="shared" ref="W318:W322" si="27">V318*1.12</f>
        <v>16128000.000000002</v>
      </c>
      <c r="X318" s="231"/>
      <c r="Y318" s="135">
        <v>2014</v>
      </c>
      <c r="Z318" s="304"/>
      <c r="AD318" s="233"/>
      <c r="AE318" s="233"/>
      <c r="AF318" s="233"/>
      <c r="AG318" s="233"/>
    </row>
    <row r="319" spans="2:33" s="213" customFormat="1" ht="48" customHeight="1" x14ac:dyDescent="0.25">
      <c r="B319" s="160" t="s">
        <v>1134</v>
      </c>
      <c r="C319" s="287" t="s">
        <v>1076</v>
      </c>
      <c r="D319" s="82" t="s">
        <v>1138</v>
      </c>
      <c r="E319" s="82" t="s">
        <v>1139</v>
      </c>
      <c r="F319" s="82" t="s">
        <v>1139</v>
      </c>
      <c r="G319" s="82" t="s">
        <v>1141</v>
      </c>
      <c r="H319" s="286" t="s">
        <v>3</v>
      </c>
      <c r="I319" s="296">
        <v>0</v>
      </c>
      <c r="J319" s="288" t="s">
        <v>1044</v>
      </c>
      <c r="K319" s="82" t="s">
        <v>1146</v>
      </c>
      <c r="L319" s="279"/>
      <c r="M319" s="345" t="s">
        <v>1132</v>
      </c>
      <c r="N319" s="279"/>
      <c r="O319" s="303"/>
      <c r="P319" s="88">
        <v>2800000</v>
      </c>
      <c r="Q319" s="88">
        <v>5600000</v>
      </c>
      <c r="R319" s="88">
        <v>5600000</v>
      </c>
      <c r="S319" s="342"/>
      <c r="T319" s="311"/>
      <c r="U319" s="301"/>
      <c r="V319" s="88">
        <f>O319+P319+Q319+R319+S319</f>
        <v>14000000</v>
      </c>
      <c r="W319" s="302">
        <f t="shared" si="27"/>
        <v>15680000.000000002</v>
      </c>
      <c r="X319" s="231"/>
      <c r="Y319" s="135">
        <v>2014</v>
      </c>
      <c r="Z319" s="304"/>
      <c r="AD319" s="233"/>
      <c r="AE319" s="233"/>
      <c r="AF319" s="233"/>
      <c r="AG319" s="233"/>
    </row>
    <row r="320" spans="2:33" s="213" customFormat="1" ht="48" customHeight="1" x14ac:dyDescent="0.25">
      <c r="B320" s="160" t="s">
        <v>1135</v>
      </c>
      <c r="C320" s="287" t="s">
        <v>1076</v>
      </c>
      <c r="D320" s="82" t="s">
        <v>1138</v>
      </c>
      <c r="E320" s="82" t="s">
        <v>1139</v>
      </c>
      <c r="F320" s="82" t="s">
        <v>1139</v>
      </c>
      <c r="G320" s="82" t="s">
        <v>1142</v>
      </c>
      <c r="H320" s="286" t="s">
        <v>3</v>
      </c>
      <c r="I320" s="296">
        <v>0</v>
      </c>
      <c r="J320" s="288" t="s">
        <v>1044</v>
      </c>
      <c r="K320" s="82" t="s">
        <v>1147</v>
      </c>
      <c r="L320" s="279"/>
      <c r="M320" s="345" t="s">
        <v>1132</v>
      </c>
      <c r="N320" s="279"/>
      <c r="O320" s="303"/>
      <c r="P320" s="88">
        <v>4400000</v>
      </c>
      <c r="Q320" s="88">
        <v>4400000</v>
      </c>
      <c r="R320" s="88">
        <v>4400000</v>
      </c>
      <c r="S320" s="342"/>
      <c r="T320" s="311"/>
      <c r="U320" s="301"/>
      <c r="V320" s="88">
        <f>O320+P320+Q320+R320+S320</f>
        <v>13200000</v>
      </c>
      <c r="W320" s="302">
        <f t="shared" si="27"/>
        <v>14784000.000000002</v>
      </c>
      <c r="X320" s="231"/>
      <c r="Y320" s="135">
        <v>2014</v>
      </c>
      <c r="Z320" s="304"/>
      <c r="AD320" s="233"/>
      <c r="AE320" s="233"/>
      <c r="AF320" s="233"/>
      <c r="AG320" s="233"/>
    </row>
    <row r="321" spans="2:33" s="213" customFormat="1" ht="48" customHeight="1" x14ac:dyDescent="0.25">
      <c r="B321" s="160" t="s">
        <v>1136</v>
      </c>
      <c r="C321" s="287" t="s">
        <v>1076</v>
      </c>
      <c r="D321" s="82" t="s">
        <v>595</v>
      </c>
      <c r="E321" s="82" t="s">
        <v>596</v>
      </c>
      <c r="F321" s="82" t="s">
        <v>597</v>
      </c>
      <c r="G321" s="82" t="s">
        <v>1143</v>
      </c>
      <c r="H321" s="286" t="s">
        <v>3</v>
      </c>
      <c r="I321" s="296">
        <v>0</v>
      </c>
      <c r="J321" s="288" t="s">
        <v>1044</v>
      </c>
      <c r="K321" s="82" t="s">
        <v>1148</v>
      </c>
      <c r="L321" s="279"/>
      <c r="M321" s="345" t="s">
        <v>1132</v>
      </c>
      <c r="N321" s="279"/>
      <c r="O321" s="303"/>
      <c r="P321" s="88">
        <v>184800</v>
      </c>
      <c r="Q321" s="88">
        <v>184800</v>
      </c>
      <c r="R321" s="88">
        <v>184800</v>
      </c>
      <c r="S321" s="342"/>
      <c r="T321" s="311"/>
      <c r="U321" s="301"/>
      <c r="V321" s="88">
        <f>O321+P321+Q321+R321+S321</f>
        <v>554400</v>
      </c>
      <c r="W321" s="302">
        <f t="shared" si="27"/>
        <v>620928.00000000012</v>
      </c>
      <c r="X321" s="231"/>
      <c r="Y321" s="135">
        <v>2014</v>
      </c>
      <c r="Z321" s="304"/>
      <c r="AD321" s="233"/>
      <c r="AE321" s="233"/>
      <c r="AF321" s="233"/>
      <c r="AG321" s="233"/>
    </row>
    <row r="322" spans="2:33" s="213" customFormat="1" ht="48" customHeight="1" x14ac:dyDescent="0.25">
      <c r="B322" s="160" t="s">
        <v>1137</v>
      </c>
      <c r="C322" s="287" t="s">
        <v>1076</v>
      </c>
      <c r="D322" s="82" t="s">
        <v>1138</v>
      </c>
      <c r="E322" s="82" t="s">
        <v>1139</v>
      </c>
      <c r="F322" s="82" t="s">
        <v>1139</v>
      </c>
      <c r="G322" s="82" t="s">
        <v>1144</v>
      </c>
      <c r="H322" s="286" t="s">
        <v>3</v>
      </c>
      <c r="I322" s="296">
        <v>0</v>
      </c>
      <c r="J322" s="288" t="s">
        <v>1044</v>
      </c>
      <c r="K322" s="82" t="s">
        <v>1149</v>
      </c>
      <c r="L322" s="279"/>
      <c r="M322" s="345" t="s">
        <v>1132</v>
      </c>
      <c r="N322" s="279"/>
      <c r="O322" s="303"/>
      <c r="P322" s="88">
        <v>2520000</v>
      </c>
      <c r="Q322" s="88">
        <v>2520000</v>
      </c>
      <c r="R322" s="88"/>
      <c r="S322" s="342"/>
      <c r="T322" s="311"/>
      <c r="U322" s="301"/>
      <c r="V322" s="88">
        <f>O322+P322+Q322+R322+S322</f>
        <v>5040000</v>
      </c>
      <c r="W322" s="302">
        <f t="shared" si="27"/>
        <v>5644800.0000000009</v>
      </c>
      <c r="X322" s="231"/>
      <c r="Y322" s="135">
        <v>2014</v>
      </c>
      <c r="Z322" s="304"/>
      <c r="AD322" s="233"/>
      <c r="AE322" s="233"/>
      <c r="AF322" s="233"/>
      <c r="AG322" s="233"/>
    </row>
    <row r="323" spans="2:33" s="213" customFormat="1" ht="48" customHeight="1" x14ac:dyDescent="0.25">
      <c r="B323" s="160" t="s">
        <v>1150</v>
      </c>
      <c r="C323" s="287" t="s">
        <v>1076</v>
      </c>
      <c r="D323" s="82" t="s">
        <v>1152</v>
      </c>
      <c r="E323" s="82" t="s">
        <v>1153</v>
      </c>
      <c r="F323" s="82" t="s">
        <v>1153</v>
      </c>
      <c r="G323" s="82" t="s">
        <v>1154</v>
      </c>
      <c r="H323" s="286" t="s">
        <v>3</v>
      </c>
      <c r="I323" s="296">
        <v>0</v>
      </c>
      <c r="J323" s="288" t="s">
        <v>1044</v>
      </c>
      <c r="K323" s="82" t="s">
        <v>1147</v>
      </c>
      <c r="L323" s="279"/>
      <c r="M323" s="345" t="s">
        <v>1132</v>
      </c>
      <c r="N323" s="279"/>
      <c r="O323" s="303"/>
      <c r="P323" s="88">
        <v>170000</v>
      </c>
      <c r="Q323" s="88">
        <v>170000</v>
      </c>
      <c r="R323" s="88"/>
      <c r="S323" s="342"/>
      <c r="T323" s="311"/>
      <c r="U323" s="301"/>
      <c r="V323" s="88">
        <v>0</v>
      </c>
      <c r="W323" s="302">
        <f t="shared" ref="W323:W326" si="28">V323*1.12</f>
        <v>0</v>
      </c>
      <c r="X323" s="231"/>
      <c r="Y323" s="135">
        <v>2014</v>
      </c>
      <c r="Z323" s="88" t="s">
        <v>996</v>
      </c>
      <c r="AD323" s="233"/>
      <c r="AE323" s="233"/>
      <c r="AF323" s="233"/>
      <c r="AG323" s="233"/>
    </row>
    <row r="324" spans="2:33" s="213" customFormat="1" ht="48" customHeight="1" x14ac:dyDescent="0.25">
      <c r="B324" s="160" t="s">
        <v>1159</v>
      </c>
      <c r="C324" s="287" t="s">
        <v>1076</v>
      </c>
      <c r="D324" s="82" t="s">
        <v>1152</v>
      </c>
      <c r="E324" s="82" t="s">
        <v>1153</v>
      </c>
      <c r="F324" s="82" t="s">
        <v>1153</v>
      </c>
      <c r="G324" s="82" t="s">
        <v>1154</v>
      </c>
      <c r="H324" s="286" t="s">
        <v>617</v>
      </c>
      <c r="I324" s="296">
        <v>0</v>
      </c>
      <c r="J324" s="288" t="s">
        <v>1044</v>
      </c>
      <c r="K324" s="82" t="s">
        <v>1147</v>
      </c>
      <c r="L324" s="279"/>
      <c r="M324" s="345" t="s">
        <v>1132</v>
      </c>
      <c r="N324" s="279"/>
      <c r="O324" s="303"/>
      <c r="P324" s="88">
        <v>170000</v>
      </c>
      <c r="Q324" s="88">
        <v>170000</v>
      </c>
      <c r="R324" s="88"/>
      <c r="S324" s="342"/>
      <c r="T324" s="311"/>
      <c r="U324" s="301"/>
      <c r="V324" s="88">
        <v>0</v>
      </c>
      <c r="W324" s="302">
        <f t="shared" ref="W324" si="29">V324*1.12</f>
        <v>0</v>
      </c>
      <c r="X324" s="231"/>
      <c r="Y324" s="135">
        <v>2014</v>
      </c>
      <c r="Z324" s="88" t="s">
        <v>996</v>
      </c>
      <c r="AD324" s="233"/>
      <c r="AE324" s="233"/>
      <c r="AF324" s="233"/>
      <c r="AG324" s="233"/>
    </row>
    <row r="325" spans="2:33" s="213" customFormat="1" ht="48" customHeight="1" x14ac:dyDescent="0.25">
      <c r="B325" s="160" t="s">
        <v>1151</v>
      </c>
      <c r="C325" s="287" t="s">
        <v>1076</v>
      </c>
      <c r="D325" s="82" t="s">
        <v>979</v>
      </c>
      <c r="E325" s="82" t="s">
        <v>980</v>
      </c>
      <c r="F325" s="82" t="s">
        <v>981</v>
      </c>
      <c r="G325" s="82" t="s">
        <v>1155</v>
      </c>
      <c r="H325" s="286" t="s">
        <v>3</v>
      </c>
      <c r="I325" s="296">
        <v>0</v>
      </c>
      <c r="J325" s="288" t="s">
        <v>1044</v>
      </c>
      <c r="K325" s="109" t="s">
        <v>1147</v>
      </c>
      <c r="L325" s="338"/>
      <c r="M325" s="346" t="s">
        <v>1132</v>
      </c>
      <c r="N325" s="338"/>
      <c r="O325" s="339"/>
      <c r="P325" s="187">
        <v>185300</v>
      </c>
      <c r="Q325" s="187">
        <v>370600</v>
      </c>
      <c r="R325" s="187"/>
      <c r="S325" s="347"/>
      <c r="T325" s="340"/>
      <c r="U325" s="316"/>
      <c r="V325" s="187">
        <f t="shared" ref="V325" si="30">O325+P325+Q325+R325+S325</f>
        <v>555900</v>
      </c>
      <c r="W325" s="317">
        <f t="shared" si="28"/>
        <v>622608.00000000012</v>
      </c>
      <c r="X325" s="293"/>
      <c r="Y325" s="294">
        <v>2014</v>
      </c>
      <c r="Z325" s="318"/>
      <c r="AD325" s="233"/>
      <c r="AE325" s="233"/>
      <c r="AF325" s="233"/>
      <c r="AG325" s="233"/>
    </row>
    <row r="326" spans="2:33" s="213" customFormat="1" ht="48" customHeight="1" x14ac:dyDescent="0.25">
      <c r="B326" s="160" t="s">
        <v>1157</v>
      </c>
      <c r="C326" s="287" t="s">
        <v>1076</v>
      </c>
      <c r="D326" s="319" t="s">
        <v>744</v>
      </c>
      <c r="E326" s="319" t="s">
        <v>745</v>
      </c>
      <c r="F326" s="319" t="s">
        <v>745</v>
      </c>
      <c r="G326" s="319" t="s">
        <v>1156</v>
      </c>
      <c r="H326" s="288" t="s">
        <v>95</v>
      </c>
      <c r="I326" s="288">
        <v>0</v>
      </c>
      <c r="J326" s="288" t="s">
        <v>1158</v>
      </c>
      <c r="K326" s="109" t="s">
        <v>444</v>
      </c>
      <c r="L326" s="338"/>
      <c r="M326" s="346" t="s">
        <v>1132</v>
      </c>
      <c r="N326" s="338"/>
      <c r="O326" s="339"/>
      <c r="P326" s="348">
        <f>175750*6</f>
        <v>1054500</v>
      </c>
      <c r="Q326" s="348">
        <f>175750*12</f>
        <v>2109000</v>
      </c>
      <c r="R326" s="348">
        <f>175750*12</f>
        <v>2109000</v>
      </c>
      <c r="S326" s="348">
        <f>175750*12</f>
        <v>2109000</v>
      </c>
      <c r="T326" s="348">
        <f>175750*12</f>
        <v>2109000</v>
      </c>
      <c r="U326" s="316"/>
      <c r="V326" s="187">
        <v>10545000</v>
      </c>
      <c r="W326" s="317">
        <f t="shared" si="28"/>
        <v>11810400.000000002</v>
      </c>
      <c r="X326" s="293"/>
      <c r="Y326" s="294">
        <v>2014</v>
      </c>
      <c r="Z326" s="318"/>
      <c r="AD326" s="233"/>
      <c r="AE326" s="233"/>
      <c r="AF326" s="233"/>
      <c r="AG326" s="233"/>
    </row>
    <row r="327" spans="2:33" s="213" customFormat="1" ht="48" customHeight="1" x14ac:dyDescent="0.25">
      <c r="B327" s="160" t="s">
        <v>1160</v>
      </c>
      <c r="C327" s="287" t="s">
        <v>1076</v>
      </c>
      <c r="D327" s="349" t="s">
        <v>539</v>
      </c>
      <c r="E327" s="349" t="s">
        <v>540</v>
      </c>
      <c r="F327" s="349" t="s">
        <v>540</v>
      </c>
      <c r="G327" s="350" t="s">
        <v>1161</v>
      </c>
      <c r="H327" s="276" t="s">
        <v>95</v>
      </c>
      <c r="I327" s="276">
        <v>100</v>
      </c>
      <c r="J327" s="276" t="s">
        <v>1158</v>
      </c>
      <c r="K327" s="82" t="s">
        <v>469</v>
      </c>
      <c r="L327" s="279"/>
      <c r="M327" s="345" t="s">
        <v>1162</v>
      </c>
      <c r="N327" s="279"/>
      <c r="O327" s="303"/>
      <c r="P327" s="204">
        <v>4966157</v>
      </c>
      <c r="Q327" s="204">
        <v>9932315</v>
      </c>
      <c r="R327" s="204">
        <v>9932315</v>
      </c>
      <c r="S327" s="204">
        <v>9932315</v>
      </c>
      <c r="T327" s="351"/>
      <c r="U327" s="301"/>
      <c r="V327" s="88">
        <v>0</v>
      </c>
      <c r="W327" s="302">
        <f t="shared" ref="W327:W331" si="31">V327*1.12</f>
        <v>0</v>
      </c>
      <c r="X327" s="231"/>
      <c r="Y327" s="135">
        <v>2014</v>
      </c>
      <c r="Z327" s="88" t="s">
        <v>996</v>
      </c>
      <c r="AD327" s="233"/>
      <c r="AE327" s="233"/>
      <c r="AF327" s="233"/>
      <c r="AG327" s="233"/>
    </row>
    <row r="328" spans="2:33" s="213" customFormat="1" ht="48" customHeight="1" x14ac:dyDescent="0.25">
      <c r="B328" s="160" t="s">
        <v>1284</v>
      </c>
      <c r="C328" s="287" t="s">
        <v>1076</v>
      </c>
      <c r="D328" s="349" t="s">
        <v>539</v>
      </c>
      <c r="E328" s="349" t="s">
        <v>540</v>
      </c>
      <c r="F328" s="349" t="s">
        <v>540</v>
      </c>
      <c r="G328" s="350" t="s">
        <v>1161</v>
      </c>
      <c r="H328" s="276" t="s">
        <v>95</v>
      </c>
      <c r="I328" s="276">
        <v>100</v>
      </c>
      <c r="J328" s="276" t="s">
        <v>1158</v>
      </c>
      <c r="K328" s="82" t="s">
        <v>469</v>
      </c>
      <c r="L328" s="279"/>
      <c r="M328" s="345" t="s">
        <v>1162</v>
      </c>
      <c r="N328" s="279"/>
      <c r="O328" s="303"/>
      <c r="P328" s="204">
        <v>5562096</v>
      </c>
      <c r="Q328" s="204">
        <v>11124192</v>
      </c>
      <c r="R328" s="204">
        <v>11124192</v>
      </c>
      <c r="S328" s="204">
        <v>11124192</v>
      </c>
      <c r="T328" s="351"/>
      <c r="U328" s="301"/>
      <c r="V328" s="187">
        <v>38934672</v>
      </c>
      <c r="W328" s="302">
        <f t="shared" si="31"/>
        <v>43606832.640000001</v>
      </c>
      <c r="X328" s="231"/>
      <c r="Y328" s="135">
        <v>2014</v>
      </c>
      <c r="Z328" s="304"/>
      <c r="AD328" s="233"/>
      <c r="AE328" s="233"/>
      <c r="AF328" s="233"/>
      <c r="AG328" s="233"/>
    </row>
    <row r="329" spans="2:33" s="213" customFormat="1" ht="48" customHeight="1" x14ac:dyDescent="0.25">
      <c r="B329" s="160" t="s">
        <v>1172</v>
      </c>
      <c r="C329" s="355" t="s">
        <v>2</v>
      </c>
      <c r="D329" s="356" t="s">
        <v>1168</v>
      </c>
      <c r="E329" s="356" t="s">
        <v>1169</v>
      </c>
      <c r="F329" s="356" t="s">
        <v>1170</v>
      </c>
      <c r="G329" s="357" t="s">
        <v>1171</v>
      </c>
      <c r="H329" s="276" t="s">
        <v>3</v>
      </c>
      <c r="I329" s="357">
        <v>0</v>
      </c>
      <c r="J329" s="276" t="s">
        <v>477</v>
      </c>
      <c r="K329" s="275" t="s">
        <v>1098</v>
      </c>
      <c r="L329" s="279"/>
      <c r="M329" s="346" t="s">
        <v>1132</v>
      </c>
      <c r="N329" s="279"/>
      <c r="O329" s="303"/>
      <c r="P329" s="204">
        <v>7480000</v>
      </c>
      <c r="Q329" s="204">
        <v>13090000</v>
      </c>
      <c r="R329" s="204">
        <v>7480000</v>
      </c>
      <c r="S329" s="204"/>
      <c r="T329" s="351"/>
      <c r="U329" s="301"/>
      <c r="V329" s="88">
        <v>0</v>
      </c>
      <c r="W329" s="302">
        <f t="shared" si="31"/>
        <v>0</v>
      </c>
      <c r="X329" s="231"/>
      <c r="Y329" s="135">
        <v>2014</v>
      </c>
      <c r="Z329" s="304"/>
      <c r="AD329" s="233"/>
      <c r="AE329" s="233"/>
      <c r="AF329" s="233"/>
      <c r="AG329" s="233"/>
    </row>
    <row r="330" spans="2:33" s="213" customFormat="1" ht="48" customHeight="1" x14ac:dyDescent="0.25">
      <c r="B330" s="160" t="s">
        <v>1402</v>
      </c>
      <c r="C330" s="355" t="s">
        <v>2</v>
      </c>
      <c r="D330" s="356" t="s">
        <v>1168</v>
      </c>
      <c r="E330" s="356" t="s">
        <v>1169</v>
      </c>
      <c r="F330" s="356" t="s">
        <v>1170</v>
      </c>
      <c r="G330" s="357" t="s">
        <v>1171</v>
      </c>
      <c r="H330" s="276" t="s">
        <v>3</v>
      </c>
      <c r="I330" s="357">
        <v>0</v>
      </c>
      <c r="J330" s="276" t="s">
        <v>1403</v>
      </c>
      <c r="K330" s="275" t="s">
        <v>1098</v>
      </c>
      <c r="L330" s="279"/>
      <c r="M330" s="346" t="s">
        <v>1404</v>
      </c>
      <c r="N330" s="279"/>
      <c r="O330" s="303"/>
      <c r="P330" s="204">
        <v>7480000</v>
      </c>
      <c r="Q330" s="204">
        <v>13090000</v>
      </c>
      <c r="R330" s="204">
        <v>7480000</v>
      </c>
      <c r="S330" s="204"/>
      <c r="T330" s="351"/>
      <c r="U330" s="301"/>
      <c r="V330" s="88">
        <v>28050000</v>
      </c>
      <c r="W330" s="302">
        <f t="shared" ref="W330" si="32">V330*1.12</f>
        <v>31416000.000000004</v>
      </c>
      <c r="X330" s="231"/>
      <c r="Y330" s="135">
        <v>2014</v>
      </c>
      <c r="Z330" s="304"/>
      <c r="AD330" s="233"/>
      <c r="AE330" s="233"/>
      <c r="AF330" s="233"/>
      <c r="AG330" s="233"/>
    </row>
    <row r="331" spans="2:33" s="213" customFormat="1" ht="48" customHeight="1" x14ac:dyDescent="0.25">
      <c r="B331" s="160" t="s">
        <v>1173</v>
      </c>
      <c r="C331" s="355" t="s">
        <v>2</v>
      </c>
      <c r="D331" s="279" t="s">
        <v>1174</v>
      </c>
      <c r="E331" s="279" t="s">
        <v>1175</v>
      </c>
      <c r="F331" s="279" t="s">
        <v>1175</v>
      </c>
      <c r="G331" s="279" t="s">
        <v>1176</v>
      </c>
      <c r="H331" s="276" t="s">
        <v>617</v>
      </c>
      <c r="I331" s="357">
        <v>0</v>
      </c>
      <c r="J331" s="276" t="s">
        <v>477</v>
      </c>
      <c r="K331" s="275" t="s">
        <v>1098</v>
      </c>
      <c r="L331" s="279"/>
      <c r="M331" s="346" t="s">
        <v>1132</v>
      </c>
      <c r="N331" s="279"/>
      <c r="O331" s="303"/>
      <c r="P331" s="204">
        <v>2450000</v>
      </c>
      <c r="Q331" s="204">
        <v>2450000</v>
      </c>
      <c r="R331" s="204">
        <v>2450000</v>
      </c>
      <c r="S331" s="204"/>
      <c r="T331" s="351"/>
      <c r="U331" s="301"/>
      <c r="V331" s="88">
        <v>7350000</v>
      </c>
      <c r="W331" s="302">
        <f t="shared" si="31"/>
        <v>8232000.0000000009</v>
      </c>
      <c r="X331" s="231"/>
      <c r="Y331" s="135">
        <v>2014</v>
      </c>
      <c r="Z331" s="304"/>
      <c r="AD331" s="233"/>
      <c r="AE331" s="233"/>
      <c r="AF331" s="233"/>
      <c r="AG331" s="233"/>
    </row>
    <row r="332" spans="2:33" s="213" customFormat="1" ht="48" customHeight="1" x14ac:dyDescent="0.25">
      <c r="B332" s="160" t="s">
        <v>1177</v>
      </c>
      <c r="C332" s="355" t="s">
        <v>2</v>
      </c>
      <c r="D332" s="279" t="s">
        <v>979</v>
      </c>
      <c r="E332" s="279" t="s">
        <v>980</v>
      </c>
      <c r="F332" s="279" t="s">
        <v>981</v>
      </c>
      <c r="G332" s="321" t="s">
        <v>1178</v>
      </c>
      <c r="H332" s="276" t="s">
        <v>95</v>
      </c>
      <c r="I332" s="357">
        <v>0</v>
      </c>
      <c r="J332" s="276" t="s">
        <v>1047</v>
      </c>
      <c r="K332" s="341" t="s">
        <v>1179</v>
      </c>
      <c r="L332" s="279"/>
      <c r="M332" s="346" t="s">
        <v>1132</v>
      </c>
      <c r="N332" s="279"/>
      <c r="O332" s="303"/>
      <c r="P332" s="358">
        <v>3404951</v>
      </c>
      <c r="Q332" s="358">
        <v>3404951</v>
      </c>
      <c r="R332" s="204"/>
      <c r="S332" s="204"/>
      <c r="T332" s="351"/>
      <c r="U332" s="301"/>
      <c r="V332" s="358">
        <v>6809902</v>
      </c>
      <c r="W332" s="302">
        <f t="shared" ref="W332:W333" si="33">V332*1.12</f>
        <v>7627090.2400000012</v>
      </c>
      <c r="X332" s="231"/>
      <c r="Y332" s="135">
        <v>2014</v>
      </c>
      <c r="Z332" s="304"/>
      <c r="AD332" s="233"/>
      <c r="AE332" s="233"/>
      <c r="AF332" s="233"/>
      <c r="AG332" s="233"/>
    </row>
    <row r="333" spans="2:33" s="213" customFormat="1" ht="48" customHeight="1" x14ac:dyDescent="0.25">
      <c r="B333" s="160" t="s">
        <v>1180</v>
      </c>
      <c r="C333" s="355" t="s">
        <v>2</v>
      </c>
      <c r="D333" s="160" t="s">
        <v>229</v>
      </c>
      <c r="E333" s="160" t="s">
        <v>230</v>
      </c>
      <c r="F333" s="160" t="s">
        <v>230</v>
      </c>
      <c r="G333" s="160" t="s">
        <v>1182</v>
      </c>
      <c r="H333" s="276" t="s">
        <v>95</v>
      </c>
      <c r="I333" s="357">
        <v>0</v>
      </c>
      <c r="J333" s="276" t="s">
        <v>477</v>
      </c>
      <c r="K333" s="359" t="s">
        <v>1184</v>
      </c>
      <c r="L333" s="279"/>
      <c r="M333" s="360" t="s">
        <v>236</v>
      </c>
      <c r="N333" s="279"/>
      <c r="O333" s="303"/>
      <c r="P333" s="204"/>
      <c r="Q333" s="204"/>
      <c r="R333" s="204">
        <v>345000000</v>
      </c>
      <c r="S333" s="204">
        <v>500000000</v>
      </c>
      <c r="T333" s="351"/>
      <c r="U333" s="301"/>
      <c r="V333" s="88">
        <v>845000000</v>
      </c>
      <c r="W333" s="302">
        <f t="shared" si="33"/>
        <v>946400000.00000012</v>
      </c>
      <c r="X333" s="231"/>
      <c r="Y333" s="135">
        <v>2014</v>
      </c>
      <c r="Z333" s="304"/>
      <c r="AD333" s="233"/>
      <c r="AE333" s="233"/>
      <c r="AF333" s="233"/>
      <c r="AG333" s="233"/>
    </row>
    <row r="334" spans="2:33" s="213" customFormat="1" ht="48" customHeight="1" x14ac:dyDescent="0.25">
      <c r="B334" s="160" t="s">
        <v>1181</v>
      </c>
      <c r="C334" s="355" t="s">
        <v>2</v>
      </c>
      <c r="D334" s="160" t="s">
        <v>229</v>
      </c>
      <c r="E334" s="160" t="s">
        <v>230</v>
      </c>
      <c r="F334" s="160" t="s">
        <v>230</v>
      </c>
      <c r="G334" s="160" t="s">
        <v>1183</v>
      </c>
      <c r="H334" s="276" t="s">
        <v>95</v>
      </c>
      <c r="I334" s="357">
        <v>0</v>
      </c>
      <c r="J334" s="276" t="s">
        <v>477</v>
      </c>
      <c r="K334" s="359" t="s">
        <v>1184</v>
      </c>
      <c r="L334" s="279"/>
      <c r="M334" s="360" t="s">
        <v>236</v>
      </c>
      <c r="N334" s="279"/>
      <c r="O334" s="303"/>
      <c r="P334" s="358"/>
      <c r="Q334" s="358"/>
      <c r="R334" s="204">
        <v>243000000</v>
      </c>
      <c r="S334" s="204">
        <v>390000000</v>
      </c>
      <c r="T334" s="351">
        <v>1105000000</v>
      </c>
      <c r="U334" s="301"/>
      <c r="V334" s="358">
        <v>1738000000</v>
      </c>
      <c r="W334" s="302">
        <f t="shared" ref="W334:W359" si="34">V334*1.12</f>
        <v>1946560000.0000002</v>
      </c>
      <c r="X334" s="231"/>
      <c r="Y334" s="135">
        <v>2014</v>
      </c>
      <c r="Z334" s="304"/>
      <c r="AD334" s="233"/>
      <c r="AE334" s="233"/>
      <c r="AF334" s="233"/>
      <c r="AG334" s="233"/>
    </row>
    <row r="335" spans="2:33" s="213" customFormat="1" ht="48" customHeight="1" x14ac:dyDescent="0.25">
      <c r="B335" s="160" t="s">
        <v>1185</v>
      </c>
      <c r="C335" s="355" t="s">
        <v>2</v>
      </c>
      <c r="D335" s="283" t="s">
        <v>295</v>
      </c>
      <c r="E335" s="283" t="s">
        <v>296</v>
      </c>
      <c r="F335" s="283" t="s">
        <v>296</v>
      </c>
      <c r="G335" s="283" t="s">
        <v>1252</v>
      </c>
      <c r="H335" s="276" t="s">
        <v>95</v>
      </c>
      <c r="I335" s="357">
        <v>0</v>
      </c>
      <c r="J335" s="276" t="s">
        <v>1035</v>
      </c>
      <c r="K335" s="283" t="s">
        <v>1186</v>
      </c>
      <c r="L335" s="279"/>
      <c r="M335" s="283" t="s">
        <v>1132</v>
      </c>
      <c r="N335" s="279"/>
      <c r="O335" s="303"/>
      <c r="P335" s="358">
        <v>102776205</v>
      </c>
      <c r="Q335" s="358">
        <v>102776205</v>
      </c>
      <c r="R335" s="204">
        <v>102776205</v>
      </c>
      <c r="S335" s="204"/>
      <c r="T335" s="351"/>
      <c r="U335" s="301"/>
      <c r="V335" s="358">
        <v>308328615</v>
      </c>
      <c r="W335" s="302">
        <f t="shared" si="34"/>
        <v>345328048.80000001</v>
      </c>
      <c r="X335" s="231"/>
      <c r="Y335" s="135">
        <v>2014</v>
      </c>
      <c r="Z335" s="304"/>
      <c r="AD335" s="233"/>
      <c r="AE335" s="233"/>
      <c r="AF335" s="233"/>
      <c r="AG335" s="233"/>
    </row>
    <row r="336" spans="2:33" s="233" customFormat="1" ht="48" customHeight="1" x14ac:dyDescent="0.25">
      <c r="B336" s="160" t="s">
        <v>1187</v>
      </c>
      <c r="C336" s="373" t="s">
        <v>2</v>
      </c>
      <c r="D336" s="82" t="s">
        <v>454</v>
      </c>
      <c r="E336" s="82" t="s">
        <v>455</v>
      </c>
      <c r="F336" s="82" t="s">
        <v>455</v>
      </c>
      <c r="G336" s="283" t="s">
        <v>1230</v>
      </c>
      <c r="H336" s="82" t="s">
        <v>3</v>
      </c>
      <c r="I336" s="357">
        <v>100</v>
      </c>
      <c r="J336" s="82" t="s">
        <v>1233</v>
      </c>
      <c r="K336" s="163" t="s">
        <v>1231</v>
      </c>
      <c r="L336" s="283"/>
      <c r="M336" s="362" t="s">
        <v>1132</v>
      </c>
      <c r="N336" s="283"/>
      <c r="O336" s="374"/>
      <c r="P336" s="302"/>
      <c r="Q336" s="16">
        <v>0</v>
      </c>
      <c r="R336" s="375">
        <f>Q336</f>
        <v>0</v>
      </c>
      <c r="S336" s="376"/>
      <c r="T336" s="377"/>
      <c r="U336" s="378"/>
      <c r="V336" s="375">
        <v>0</v>
      </c>
      <c r="W336" s="302">
        <f t="shared" si="34"/>
        <v>0</v>
      </c>
      <c r="X336" s="231"/>
      <c r="Y336" s="135">
        <v>2014</v>
      </c>
      <c r="Z336" s="88" t="s">
        <v>996</v>
      </c>
    </row>
    <row r="337" spans="2:26" s="233" customFormat="1" ht="48" customHeight="1" x14ac:dyDescent="0.25">
      <c r="B337" s="160" t="s">
        <v>1188</v>
      </c>
      <c r="C337" s="373" t="s">
        <v>2</v>
      </c>
      <c r="D337" s="82" t="s">
        <v>454</v>
      </c>
      <c r="E337" s="82" t="s">
        <v>455</v>
      </c>
      <c r="F337" s="82" t="s">
        <v>455</v>
      </c>
      <c r="G337" s="82" t="s">
        <v>1208</v>
      </c>
      <c r="H337" s="82" t="s">
        <v>3</v>
      </c>
      <c r="I337" s="357">
        <v>100</v>
      </c>
      <c r="J337" s="82" t="s">
        <v>1233</v>
      </c>
      <c r="K337" s="163" t="s">
        <v>1231</v>
      </c>
      <c r="L337" s="283"/>
      <c r="M337" s="362" t="s">
        <v>1132</v>
      </c>
      <c r="N337" s="283"/>
      <c r="O337" s="374"/>
      <c r="P337" s="302"/>
      <c r="Q337" s="16">
        <v>0</v>
      </c>
      <c r="R337" s="375">
        <f t="shared" ref="R337:R356" si="35">Q337</f>
        <v>0</v>
      </c>
      <c r="S337" s="376"/>
      <c r="T337" s="377"/>
      <c r="U337" s="378"/>
      <c r="V337" s="375">
        <v>0</v>
      </c>
      <c r="W337" s="302">
        <f t="shared" si="34"/>
        <v>0</v>
      </c>
      <c r="X337" s="231"/>
      <c r="Y337" s="135">
        <v>2014</v>
      </c>
      <c r="Z337" s="88" t="s">
        <v>996</v>
      </c>
    </row>
    <row r="338" spans="2:26" s="233" customFormat="1" ht="48" customHeight="1" x14ac:dyDescent="0.25">
      <c r="B338" s="160" t="s">
        <v>1189</v>
      </c>
      <c r="C338" s="373" t="s">
        <v>2</v>
      </c>
      <c r="D338" s="82" t="s">
        <v>454</v>
      </c>
      <c r="E338" s="82" t="s">
        <v>455</v>
      </c>
      <c r="F338" s="82" t="s">
        <v>455</v>
      </c>
      <c r="G338" s="82" t="s">
        <v>1209</v>
      </c>
      <c r="H338" s="82" t="s">
        <v>3</v>
      </c>
      <c r="I338" s="357">
        <v>100</v>
      </c>
      <c r="J338" s="82" t="s">
        <v>1233</v>
      </c>
      <c r="K338" s="163" t="s">
        <v>1231</v>
      </c>
      <c r="L338" s="283"/>
      <c r="M338" s="362" t="s">
        <v>1132</v>
      </c>
      <c r="N338" s="283"/>
      <c r="O338" s="374"/>
      <c r="P338" s="302"/>
      <c r="Q338" s="16">
        <v>0</v>
      </c>
      <c r="R338" s="375">
        <f t="shared" si="35"/>
        <v>0</v>
      </c>
      <c r="S338" s="376"/>
      <c r="T338" s="377"/>
      <c r="U338" s="378"/>
      <c r="V338" s="375">
        <v>0</v>
      </c>
      <c r="W338" s="302">
        <f t="shared" si="34"/>
        <v>0</v>
      </c>
      <c r="X338" s="231"/>
      <c r="Y338" s="135">
        <v>2014</v>
      </c>
      <c r="Z338" s="88" t="s">
        <v>996</v>
      </c>
    </row>
    <row r="339" spans="2:26" s="233" customFormat="1" ht="48" customHeight="1" x14ac:dyDescent="0.25">
      <c r="B339" s="160" t="s">
        <v>1190</v>
      </c>
      <c r="C339" s="373" t="s">
        <v>2</v>
      </c>
      <c r="D339" s="82" t="s">
        <v>454</v>
      </c>
      <c r="E339" s="82" t="s">
        <v>455</v>
      </c>
      <c r="F339" s="82" t="s">
        <v>455</v>
      </c>
      <c r="G339" s="82" t="s">
        <v>1210</v>
      </c>
      <c r="H339" s="82" t="s">
        <v>3</v>
      </c>
      <c r="I339" s="357">
        <v>100</v>
      </c>
      <c r="J339" s="82" t="s">
        <v>1233</v>
      </c>
      <c r="K339" s="163" t="s">
        <v>1231</v>
      </c>
      <c r="L339" s="283"/>
      <c r="M339" s="362" t="s">
        <v>1132</v>
      </c>
      <c r="N339" s="283"/>
      <c r="O339" s="374"/>
      <c r="P339" s="302"/>
      <c r="Q339" s="16">
        <v>0</v>
      </c>
      <c r="R339" s="375">
        <f t="shared" si="35"/>
        <v>0</v>
      </c>
      <c r="S339" s="376"/>
      <c r="T339" s="377"/>
      <c r="U339" s="378"/>
      <c r="V339" s="375">
        <v>0</v>
      </c>
      <c r="W339" s="302">
        <f t="shared" si="34"/>
        <v>0</v>
      </c>
      <c r="X339" s="231"/>
      <c r="Y339" s="135">
        <v>2014</v>
      </c>
      <c r="Z339" s="88" t="s">
        <v>996</v>
      </c>
    </row>
    <row r="340" spans="2:26" s="233" customFormat="1" ht="48" customHeight="1" x14ac:dyDescent="0.25">
      <c r="B340" s="160" t="s">
        <v>1191</v>
      </c>
      <c r="C340" s="373" t="s">
        <v>2</v>
      </c>
      <c r="D340" s="82" t="s">
        <v>454</v>
      </c>
      <c r="E340" s="82" t="s">
        <v>455</v>
      </c>
      <c r="F340" s="82" t="s">
        <v>455</v>
      </c>
      <c r="G340" s="82" t="s">
        <v>1211</v>
      </c>
      <c r="H340" s="82" t="s">
        <v>3</v>
      </c>
      <c r="I340" s="357">
        <v>100</v>
      </c>
      <c r="J340" s="82" t="s">
        <v>1233</v>
      </c>
      <c r="K340" s="163" t="s">
        <v>1231</v>
      </c>
      <c r="L340" s="283"/>
      <c r="M340" s="362" t="s">
        <v>1132</v>
      </c>
      <c r="N340" s="283"/>
      <c r="O340" s="374"/>
      <c r="P340" s="302"/>
      <c r="Q340" s="16">
        <v>0</v>
      </c>
      <c r="R340" s="375">
        <f t="shared" si="35"/>
        <v>0</v>
      </c>
      <c r="S340" s="376"/>
      <c r="T340" s="377"/>
      <c r="U340" s="378"/>
      <c r="V340" s="375">
        <v>0</v>
      </c>
      <c r="W340" s="302">
        <f t="shared" si="34"/>
        <v>0</v>
      </c>
      <c r="X340" s="231"/>
      <c r="Y340" s="135">
        <v>2014</v>
      </c>
      <c r="Z340" s="88" t="s">
        <v>996</v>
      </c>
    </row>
    <row r="341" spans="2:26" s="233" customFormat="1" ht="48" customHeight="1" x14ac:dyDescent="0.25">
      <c r="B341" s="160" t="s">
        <v>1192</v>
      </c>
      <c r="C341" s="373" t="s">
        <v>2</v>
      </c>
      <c r="D341" s="82" t="s">
        <v>454</v>
      </c>
      <c r="E341" s="82" t="s">
        <v>455</v>
      </c>
      <c r="F341" s="82" t="s">
        <v>455</v>
      </c>
      <c r="G341" s="82" t="s">
        <v>1212</v>
      </c>
      <c r="H341" s="82" t="s">
        <v>3</v>
      </c>
      <c r="I341" s="357">
        <v>100</v>
      </c>
      <c r="J341" s="82" t="s">
        <v>1233</v>
      </c>
      <c r="K341" s="163" t="s">
        <v>1231</v>
      </c>
      <c r="L341" s="283"/>
      <c r="M341" s="362" t="s">
        <v>1132</v>
      </c>
      <c r="N341" s="283"/>
      <c r="O341" s="374"/>
      <c r="P341" s="302"/>
      <c r="Q341" s="16">
        <v>0</v>
      </c>
      <c r="R341" s="375">
        <f t="shared" si="35"/>
        <v>0</v>
      </c>
      <c r="S341" s="376"/>
      <c r="T341" s="377"/>
      <c r="U341" s="378"/>
      <c r="V341" s="375">
        <v>0</v>
      </c>
      <c r="W341" s="302">
        <f t="shared" si="34"/>
        <v>0</v>
      </c>
      <c r="X341" s="231"/>
      <c r="Y341" s="135">
        <v>2014</v>
      </c>
      <c r="Z341" s="88" t="s">
        <v>996</v>
      </c>
    </row>
    <row r="342" spans="2:26" s="233" customFormat="1" ht="48" customHeight="1" x14ac:dyDescent="0.25">
      <c r="B342" s="160" t="s">
        <v>1193</v>
      </c>
      <c r="C342" s="373" t="s">
        <v>2</v>
      </c>
      <c r="D342" s="82" t="s">
        <v>454</v>
      </c>
      <c r="E342" s="82" t="s">
        <v>455</v>
      </c>
      <c r="F342" s="82" t="s">
        <v>455</v>
      </c>
      <c r="G342" s="82" t="s">
        <v>1213</v>
      </c>
      <c r="H342" s="82" t="s">
        <v>3</v>
      </c>
      <c r="I342" s="357">
        <v>100</v>
      </c>
      <c r="J342" s="82" t="s">
        <v>1233</v>
      </c>
      <c r="K342" s="163" t="s">
        <v>1231</v>
      </c>
      <c r="L342" s="283"/>
      <c r="M342" s="362" t="s">
        <v>1132</v>
      </c>
      <c r="N342" s="283"/>
      <c r="O342" s="374"/>
      <c r="P342" s="302"/>
      <c r="Q342" s="16">
        <v>0</v>
      </c>
      <c r="R342" s="375">
        <f t="shared" si="35"/>
        <v>0</v>
      </c>
      <c r="S342" s="376"/>
      <c r="T342" s="377"/>
      <c r="U342" s="378"/>
      <c r="V342" s="375">
        <v>0</v>
      </c>
      <c r="W342" s="302">
        <f t="shared" si="34"/>
        <v>0</v>
      </c>
      <c r="X342" s="231"/>
      <c r="Y342" s="135">
        <v>2014</v>
      </c>
      <c r="Z342" s="88" t="s">
        <v>996</v>
      </c>
    </row>
    <row r="343" spans="2:26" s="233" customFormat="1" ht="66.75" customHeight="1" x14ac:dyDescent="0.25">
      <c r="B343" s="160" t="s">
        <v>1194</v>
      </c>
      <c r="C343" s="373" t="s">
        <v>2</v>
      </c>
      <c r="D343" s="82" t="s">
        <v>454</v>
      </c>
      <c r="E343" s="82" t="s">
        <v>455</v>
      </c>
      <c r="F343" s="82" t="s">
        <v>455</v>
      </c>
      <c r="G343" s="82" t="s">
        <v>1214</v>
      </c>
      <c r="H343" s="82" t="s">
        <v>3</v>
      </c>
      <c r="I343" s="357">
        <v>100</v>
      </c>
      <c r="J343" s="82" t="s">
        <v>1233</v>
      </c>
      <c r="K343" s="163" t="s">
        <v>1231</v>
      </c>
      <c r="L343" s="283"/>
      <c r="M343" s="362" t="s">
        <v>1132</v>
      </c>
      <c r="N343" s="283"/>
      <c r="O343" s="374"/>
      <c r="P343" s="302"/>
      <c r="Q343" s="16">
        <v>0</v>
      </c>
      <c r="R343" s="375">
        <f t="shared" si="35"/>
        <v>0</v>
      </c>
      <c r="S343" s="376"/>
      <c r="T343" s="377"/>
      <c r="U343" s="378"/>
      <c r="V343" s="375">
        <v>0</v>
      </c>
      <c r="W343" s="302">
        <f t="shared" si="34"/>
        <v>0</v>
      </c>
      <c r="X343" s="231"/>
      <c r="Y343" s="135">
        <v>2014</v>
      </c>
      <c r="Z343" s="88" t="s">
        <v>996</v>
      </c>
    </row>
    <row r="344" spans="2:26" s="233" customFormat="1" ht="48" customHeight="1" x14ac:dyDescent="0.25">
      <c r="B344" s="160" t="s">
        <v>1195</v>
      </c>
      <c r="C344" s="373" t="s">
        <v>2</v>
      </c>
      <c r="D344" s="82" t="s">
        <v>454</v>
      </c>
      <c r="E344" s="82" t="s">
        <v>455</v>
      </c>
      <c r="F344" s="82" t="s">
        <v>455</v>
      </c>
      <c r="G344" s="82" t="s">
        <v>1215</v>
      </c>
      <c r="H344" s="82" t="s">
        <v>3</v>
      </c>
      <c r="I344" s="357">
        <v>100</v>
      </c>
      <c r="J344" s="82" t="s">
        <v>1233</v>
      </c>
      <c r="K344" s="163" t="s">
        <v>469</v>
      </c>
      <c r="L344" s="283"/>
      <c r="M344" s="362" t="s">
        <v>1132</v>
      </c>
      <c r="N344" s="283"/>
      <c r="O344" s="374"/>
      <c r="P344" s="302"/>
      <c r="Q344" s="16">
        <v>0</v>
      </c>
      <c r="R344" s="375">
        <f t="shared" si="35"/>
        <v>0</v>
      </c>
      <c r="S344" s="376"/>
      <c r="T344" s="377"/>
      <c r="U344" s="378"/>
      <c r="V344" s="375">
        <v>0</v>
      </c>
      <c r="W344" s="302">
        <f t="shared" si="34"/>
        <v>0</v>
      </c>
      <c r="X344" s="231"/>
      <c r="Y344" s="135">
        <v>2014</v>
      </c>
      <c r="Z344" s="88" t="s">
        <v>996</v>
      </c>
    </row>
    <row r="345" spans="2:26" s="233" customFormat="1" ht="48" customHeight="1" x14ac:dyDescent="0.25">
      <c r="B345" s="160" t="s">
        <v>1196</v>
      </c>
      <c r="C345" s="373" t="s">
        <v>2</v>
      </c>
      <c r="D345" s="82" t="s">
        <v>454</v>
      </c>
      <c r="E345" s="82" t="s">
        <v>455</v>
      </c>
      <c r="F345" s="82" t="s">
        <v>455</v>
      </c>
      <c r="G345" s="82" t="s">
        <v>1216</v>
      </c>
      <c r="H345" s="82" t="s">
        <v>3</v>
      </c>
      <c r="I345" s="357">
        <v>100</v>
      </c>
      <c r="J345" s="82" t="s">
        <v>1233</v>
      </c>
      <c r="K345" s="163" t="s">
        <v>469</v>
      </c>
      <c r="L345" s="283"/>
      <c r="M345" s="362" t="s">
        <v>1132</v>
      </c>
      <c r="N345" s="283"/>
      <c r="O345" s="374"/>
      <c r="P345" s="302"/>
      <c r="Q345" s="16">
        <v>0</v>
      </c>
      <c r="R345" s="375">
        <f t="shared" si="35"/>
        <v>0</v>
      </c>
      <c r="S345" s="376"/>
      <c r="T345" s="377"/>
      <c r="U345" s="378"/>
      <c r="V345" s="375">
        <v>0</v>
      </c>
      <c r="W345" s="302">
        <f t="shared" si="34"/>
        <v>0</v>
      </c>
      <c r="X345" s="231"/>
      <c r="Y345" s="135">
        <v>2014</v>
      </c>
      <c r="Z345" s="88" t="s">
        <v>996</v>
      </c>
    </row>
    <row r="346" spans="2:26" s="233" customFormat="1" ht="48" customHeight="1" x14ac:dyDescent="0.25">
      <c r="B346" s="160" t="s">
        <v>1197</v>
      </c>
      <c r="C346" s="373" t="s">
        <v>2</v>
      </c>
      <c r="D346" s="82" t="s">
        <v>454</v>
      </c>
      <c r="E346" s="82" t="s">
        <v>455</v>
      </c>
      <c r="F346" s="82" t="s">
        <v>455</v>
      </c>
      <c r="G346" s="82" t="s">
        <v>1217</v>
      </c>
      <c r="H346" s="82" t="s">
        <v>3</v>
      </c>
      <c r="I346" s="357">
        <v>100</v>
      </c>
      <c r="J346" s="82" t="s">
        <v>1233</v>
      </c>
      <c r="K346" s="163" t="s">
        <v>469</v>
      </c>
      <c r="L346" s="283"/>
      <c r="M346" s="362" t="s">
        <v>1132</v>
      </c>
      <c r="N346" s="283"/>
      <c r="O346" s="374"/>
      <c r="P346" s="302"/>
      <c r="Q346" s="16">
        <v>0</v>
      </c>
      <c r="R346" s="375">
        <f t="shared" si="35"/>
        <v>0</v>
      </c>
      <c r="S346" s="376"/>
      <c r="T346" s="377"/>
      <c r="U346" s="378"/>
      <c r="V346" s="375">
        <v>0</v>
      </c>
      <c r="W346" s="302">
        <f t="shared" si="34"/>
        <v>0</v>
      </c>
      <c r="X346" s="231"/>
      <c r="Y346" s="135">
        <v>2014</v>
      </c>
      <c r="Z346" s="88" t="s">
        <v>996</v>
      </c>
    </row>
    <row r="347" spans="2:26" s="233" customFormat="1" ht="48" customHeight="1" x14ac:dyDescent="0.25">
      <c r="B347" s="160" t="s">
        <v>1198</v>
      </c>
      <c r="C347" s="373" t="s">
        <v>2</v>
      </c>
      <c r="D347" s="82" t="s">
        <v>454</v>
      </c>
      <c r="E347" s="82" t="s">
        <v>455</v>
      </c>
      <c r="F347" s="82" t="s">
        <v>455</v>
      </c>
      <c r="G347" s="82" t="s">
        <v>1218</v>
      </c>
      <c r="H347" s="82" t="s">
        <v>3</v>
      </c>
      <c r="I347" s="357">
        <v>100</v>
      </c>
      <c r="J347" s="82" t="s">
        <v>1233</v>
      </c>
      <c r="K347" s="163" t="s">
        <v>1232</v>
      </c>
      <c r="L347" s="283"/>
      <c r="M347" s="362" t="s">
        <v>1132</v>
      </c>
      <c r="N347" s="283"/>
      <c r="O347" s="374"/>
      <c r="P347" s="302"/>
      <c r="Q347" s="16">
        <v>0</v>
      </c>
      <c r="R347" s="375">
        <f t="shared" si="35"/>
        <v>0</v>
      </c>
      <c r="S347" s="376"/>
      <c r="T347" s="377"/>
      <c r="U347" s="378"/>
      <c r="V347" s="375">
        <v>0</v>
      </c>
      <c r="W347" s="302">
        <f t="shared" si="34"/>
        <v>0</v>
      </c>
      <c r="X347" s="231"/>
      <c r="Y347" s="135">
        <v>2014</v>
      </c>
      <c r="Z347" s="88" t="s">
        <v>996</v>
      </c>
    </row>
    <row r="348" spans="2:26" s="233" customFormat="1" ht="48" customHeight="1" x14ac:dyDescent="0.25">
      <c r="B348" s="160" t="s">
        <v>1199</v>
      </c>
      <c r="C348" s="373" t="s">
        <v>2</v>
      </c>
      <c r="D348" s="82" t="s">
        <v>454</v>
      </c>
      <c r="E348" s="82" t="s">
        <v>455</v>
      </c>
      <c r="F348" s="82" t="s">
        <v>455</v>
      </c>
      <c r="G348" s="82" t="s">
        <v>1219</v>
      </c>
      <c r="H348" s="82" t="s">
        <v>3</v>
      </c>
      <c r="I348" s="357">
        <v>100</v>
      </c>
      <c r="J348" s="82" t="s">
        <v>1233</v>
      </c>
      <c r="K348" s="163" t="s">
        <v>469</v>
      </c>
      <c r="L348" s="283"/>
      <c r="M348" s="362" t="s">
        <v>1132</v>
      </c>
      <c r="N348" s="283"/>
      <c r="O348" s="374"/>
      <c r="P348" s="302"/>
      <c r="Q348" s="16">
        <v>0</v>
      </c>
      <c r="R348" s="375">
        <f t="shared" si="35"/>
        <v>0</v>
      </c>
      <c r="S348" s="376"/>
      <c r="T348" s="377"/>
      <c r="U348" s="378"/>
      <c r="V348" s="375">
        <v>0</v>
      </c>
      <c r="W348" s="302">
        <f t="shared" si="34"/>
        <v>0</v>
      </c>
      <c r="X348" s="231"/>
      <c r="Y348" s="135">
        <v>2014</v>
      </c>
      <c r="Z348" s="88" t="s">
        <v>996</v>
      </c>
    </row>
    <row r="349" spans="2:26" s="233" customFormat="1" ht="48" customHeight="1" x14ac:dyDescent="0.25">
      <c r="B349" s="160" t="s">
        <v>1200</v>
      </c>
      <c r="C349" s="373" t="s">
        <v>2</v>
      </c>
      <c r="D349" s="82" t="s">
        <v>454</v>
      </c>
      <c r="E349" s="82" t="s">
        <v>455</v>
      </c>
      <c r="F349" s="82" t="s">
        <v>455</v>
      </c>
      <c r="G349" s="82" t="s">
        <v>1220</v>
      </c>
      <c r="H349" s="82" t="s">
        <v>3</v>
      </c>
      <c r="I349" s="357">
        <v>100</v>
      </c>
      <c r="J349" s="82" t="s">
        <v>1233</v>
      </c>
      <c r="K349" s="163" t="s">
        <v>469</v>
      </c>
      <c r="L349" s="283"/>
      <c r="M349" s="362" t="s">
        <v>1132</v>
      </c>
      <c r="N349" s="283"/>
      <c r="O349" s="374"/>
      <c r="P349" s="302"/>
      <c r="Q349" s="16">
        <v>0</v>
      </c>
      <c r="R349" s="375">
        <f t="shared" si="35"/>
        <v>0</v>
      </c>
      <c r="S349" s="376"/>
      <c r="T349" s="377"/>
      <c r="U349" s="378"/>
      <c r="V349" s="375">
        <v>0</v>
      </c>
      <c r="W349" s="302">
        <f t="shared" si="34"/>
        <v>0</v>
      </c>
      <c r="X349" s="231"/>
      <c r="Y349" s="135">
        <v>2014</v>
      </c>
      <c r="Z349" s="88" t="s">
        <v>996</v>
      </c>
    </row>
    <row r="350" spans="2:26" s="233" customFormat="1" ht="48" customHeight="1" x14ac:dyDescent="0.25">
      <c r="B350" s="160" t="s">
        <v>1201</v>
      </c>
      <c r="C350" s="373" t="s">
        <v>2</v>
      </c>
      <c r="D350" s="82" t="s">
        <v>454</v>
      </c>
      <c r="E350" s="82" t="s">
        <v>455</v>
      </c>
      <c r="F350" s="82" t="s">
        <v>455</v>
      </c>
      <c r="G350" s="82" t="s">
        <v>1221</v>
      </c>
      <c r="H350" s="82" t="s">
        <v>3</v>
      </c>
      <c r="I350" s="357">
        <v>100</v>
      </c>
      <c r="J350" s="82" t="s">
        <v>1233</v>
      </c>
      <c r="K350" s="163" t="s">
        <v>1232</v>
      </c>
      <c r="L350" s="283"/>
      <c r="M350" s="362" t="s">
        <v>1132</v>
      </c>
      <c r="N350" s="283"/>
      <c r="O350" s="374"/>
      <c r="P350" s="302"/>
      <c r="Q350" s="16">
        <v>0</v>
      </c>
      <c r="R350" s="375">
        <f t="shared" si="35"/>
        <v>0</v>
      </c>
      <c r="S350" s="376"/>
      <c r="T350" s="377"/>
      <c r="U350" s="378"/>
      <c r="V350" s="375">
        <v>0</v>
      </c>
      <c r="W350" s="302">
        <f t="shared" si="34"/>
        <v>0</v>
      </c>
      <c r="X350" s="231"/>
      <c r="Y350" s="135">
        <v>2014</v>
      </c>
      <c r="Z350" s="88" t="s">
        <v>996</v>
      </c>
    </row>
    <row r="351" spans="2:26" s="233" customFormat="1" ht="48" customHeight="1" x14ac:dyDescent="0.25">
      <c r="B351" s="160" t="s">
        <v>1202</v>
      </c>
      <c r="C351" s="373" t="s">
        <v>2</v>
      </c>
      <c r="D351" s="130" t="s">
        <v>1222</v>
      </c>
      <c r="E351" s="130" t="s">
        <v>1223</v>
      </c>
      <c r="F351" s="130" t="s">
        <v>1224</v>
      </c>
      <c r="G351" s="130" t="s">
        <v>598</v>
      </c>
      <c r="H351" s="82" t="s">
        <v>3</v>
      </c>
      <c r="I351" s="357">
        <v>100</v>
      </c>
      <c r="J351" s="82" t="s">
        <v>1233</v>
      </c>
      <c r="K351" s="361" t="s">
        <v>1098</v>
      </c>
      <c r="L351" s="283"/>
      <c r="M351" s="362" t="s">
        <v>1132</v>
      </c>
      <c r="N351" s="283"/>
      <c r="O351" s="374"/>
      <c r="P351" s="302"/>
      <c r="Q351" s="16">
        <v>0</v>
      </c>
      <c r="R351" s="375">
        <f t="shared" si="35"/>
        <v>0</v>
      </c>
      <c r="S351" s="376"/>
      <c r="T351" s="377"/>
      <c r="U351" s="378"/>
      <c r="V351" s="375">
        <v>0</v>
      </c>
      <c r="W351" s="302">
        <f t="shared" si="34"/>
        <v>0</v>
      </c>
      <c r="X351" s="231"/>
      <c r="Y351" s="135">
        <v>2014</v>
      </c>
      <c r="Z351" s="88" t="s">
        <v>996</v>
      </c>
    </row>
    <row r="352" spans="2:26" s="233" customFormat="1" ht="48" customHeight="1" x14ac:dyDescent="0.25">
      <c r="B352" s="160" t="s">
        <v>1203</v>
      </c>
      <c r="C352" s="373" t="s">
        <v>2</v>
      </c>
      <c r="D352" s="130" t="s">
        <v>1222</v>
      </c>
      <c r="E352" s="130" t="s">
        <v>1223</v>
      </c>
      <c r="F352" s="130" t="s">
        <v>1224</v>
      </c>
      <c r="G352" s="130" t="s">
        <v>599</v>
      </c>
      <c r="H352" s="82" t="s">
        <v>3</v>
      </c>
      <c r="I352" s="357">
        <v>100</v>
      </c>
      <c r="J352" s="82" t="s">
        <v>1233</v>
      </c>
      <c r="K352" s="361" t="s">
        <v>469</v>
      </c>
      <c r="L352" s="283"/>
      <c r="M352" s="362" t="s">
        <v>1132</v>
      </c>
      <c r="N352" s="283"/>
      <c r="O352" s="374"/>
      <c r="P352" s="302"/>
      <c r="Q352" s="16">
        <v>0</v>
      </c>
      <c r="R352" s="375">
        <f t="shared" si="35"/>
        <v>0</v>
      </c>
      <c r="S352" s="376"/>
      <c r="T352" s="377"/>
      <c r="U352" s="378"/>
      <c r="V352" s="375">
        <v>0</v>
      </c>
      <c r="W352" s="302">
        <f t="shared" si="34"/>
        <v>0</v>
      </c>
      <c r="X352" s="231"/>
      <c r="Y352" s="135">
        <v>2014</v>
      </c>
      <c r="Z352" s="88" t="s">
        <v>996</v>
      </c>
    </row>
    <row r="353" spans="2:33" s="233" customFormat="1" ht="48" customHeight="1" x14ac:dyDescent="0.25">
      <c r="B353" s="160" t="s">
        <v>1204</v>
      </c>
      <c r="C353" s="373" t="s">
        <v>2</v>
      </c>
      <c r="D353" s="130" t="s">
        <v>1225</v>
      </c>
      <c r="E353" s="130" t="s">
        <v>1226</v>
      </c>
      <c r="F353" s="130" t="s">
        <v>1227</v>
      </c>
      <c r="G353" s="130" t="s">
        <v>603</v>
      </c>
      <c r="H353" s="82" t="s">
        <v>3</v>
      </c>
      <c r="I353" s="357">
        <v>100</v>
      </c>
      <c r="J353" s="82" t="s">
        <v>1233</v>
      </c>
      <c r="K353" s="361" t="s">
        <v>1098</v>
      </c>
      <c r="L353" s="283"/>
      <c r="M353" s="362" t="s">
        <v>1132</v>
      </c>
      <c r="N353" s="283"/>
      <c r="O353" s="374"/>
      <c r="P353" s="302"/>
      <c r="Q353" s="16">
        <v>0</v>
      </c>
      <c r="R353" s="375">
        <f t="shared" si="35"/>
        <v>0</v>
      </c>
      <c r="S353" s="376"/>
      <c r="T353" s="377"/>
      <c r="U353" s="378"/>
      <c r="V353" s="375">
        <v>0</v>
      </c>
      <c r="W353" s="302">
        <f t="shared" si="34"/>
        <v>0</v>
      </c>
      <c r="X353" s="231"/>
      <c r="Y353" s="135">
        <v>2014</v>
      </c>
      <c r="Z353" s="88" t="s">
        <v>996</v>
      </c>
    </row>
    <row r="354" spans="2:33" s="233" customFormat="1" ht="48" customHeight="1" x14ac:dyDescent="0.25">
      <c r="B354" s="160" t="s">
        <v>1205</v>
      </c>
      <c r="C354" s="373" t="s">
        <v>2</v>
      </c>
      <c r="D354" s="130" t="s">
        <v>1225</v>
      </c>
      <c r="E354" s="130" t="s">
        <v>1226</v>
      </c>
      <c r="F354" s="130" t="s">
        <v>1227</v>
      </c>
      <c r="G354" s="130" t="s">
        <v>604</v>
      </c>
      <c r="H354" s="82" t="s">
        <v>3</v>
      </c>
      <c r="I354" s="357">
        <v>100</v>
      </c>
      <c r="J354" s="82" t="s">
        <v>1233</v>
      </c>
      <c r="K354" s="361" t="s">
        <v>469</v>
      </c>
      <c r="L354" s="283"/>
      <c r="M354" s="362" t="s">
        <v>1132</v>
      </c>
      <c r="N354" s="283"/>
      <c r="O354" s="374"/>
      <c r="P354" s="302"/>
      <c r="Q354" s="16">
        <v>0</v>
      </c>
      <c r="R354" s="375">
        <f t="shared" si="35"/>
        <v>0</v>
      </c>
      <c r="S354" s="376"/>
      <c r="T354" s="377"/>
      <c r="U354" s="378"/>
      <c r="V354" s="375">
        <v>0</v>
      </c>
      <c r="W354" s="302">
        <f t="shared" si="34"/>
        <v>0</v>
      </c>
      <c r="X354" s="231"/>
      <c r="Y354" s="135">
        <v>2014</v>
      </c>
      <c r="Z354" s="88" t="s">
        <v>996</v>
      </c>
    </row>
    <row r="355" spans="2:33" s="233" customFormat="1" ht="48" customHeight="1" x14ac:dyDescent="0.25">
      <c r="B355" s="160" t="s">
        <v>1206</v>
      </c>
      <c r="C355" s="373" t="s">
        <v>2</v>
      </c>
      <c r="D355" s="130" t="s">
        <v>1225</v>
      </c>
      <c r="E355" s="130" t="s">
        <v>1226</v>
      </c>
      <c r="F355" s="130" t="s">
        <v>1227</v>
      </c>
      <c r="G355" s="130" t="s">
        <v>1228</v>
      </c>
      <c r="H355" s="82" t="s">
        <v>3</v>
      </c>
      <c r="I355" s="357">
        <v>100</v>
      </c>
      <c r="J355" s="82" t="s">
        <v>1233</v>
      </c>
      <c r="K355" s="361" t="s">
        <v>1098</v>
      </c>
      <c r="L355" s="283"/>
      <c r="M355" s="362" t="s">
        <v>1132</v>
      </c>
      <c r="N355" s="283"/>
      <c r="O355" s="374"/>
      <c r="P355" s="302"/>
      <c r="Q355" s="16">
        <v>0</v>
      </c>
      <c r="R355" s="375">
        <f t="shared" si="35"/>
        <v>0</v>
      </c>
      <c r="S355" s="376"/>
      <c r="T355" s="377"/>
      <c r="U355" s="378"/>
      <c r="V355" s="375">
        <v>0</v>
      </c>
      <c r="W355" s="302">
        <f t="shared" si="34"/>
        <v>0</v>
      </c>
      <c r="X355" s="231"/>
      <c r="Y355" s="135">
        <v>2014</v>
      </c>
      <c r="Z355" s="88" t="s">
        <v>996</v>
      </c>
    </row>
    <row r="356" spans="2:33" s="233" customFormat="1" ht="48" customHeight="1" x14ac:dyDescent="0.25">
      <c r="B356" s="160" t="s">
        <v>1207</v>
      </c>
      <c r="C356" s="373" t="s">
        <v>2</v>
      </c>
      <c r="D356" s="130" t="s">
        <v>1225</v>
      </c>
      <c r="E356" s="130" t="s">
        <v>1226</v>
      </c>
      <c r="F356" s="130" t="s">
        <v>1227</v>
      </c>
      <c r="G356" s="130" t="s">
        <v>1229</v>
      </c>
      <c r="H356" s="82" t="s">
        <v>3</v>
      </c>
      <c r="I356" s="357">
        <v>100</v>
      </c>
      <c r="J356" s="82" t="s">
        <v>1233</v>
      </c>
      <c r="K356" s="361" t="s">
        <v>469</v>
      </c>
      <c r="L356" s="283"/>
      <c r="M356" s="362" t="s">
        <v>1132</v>
      </c>
      <c r="N356" s="283"/>
      <c r="O356" s="374"/>
      <c r="P356" s="302"/>
      <c r="Q356" s="16">
        <v>0</v>
      </c>
      <c r="R356" s="375">
        <f t="shared" si="35"/>
        <v>0</v>
      </c>
      <c r="S356" s="376"/>
      <c r="T356" s="377"/>
      <c r="U356" s="378"/>
      <c r="V356" s="375">
        <v>0</v>
      </c>
      <c r="W356" s="302">
        <f t="shared" si="34"/>
        <v>0</v>
      </c>
      <c r="X356" s="231"/>
      <c r="Y356" s="135">
        <v>2014</v>
      </c>
      <c r="Z356" s="88" t="s">
        <v>996</v>
      </c>
    </row>
    <row r="357" spans="2:33" s="213" customFormat="1" ht="48" customHeight="1" x14ac:dyDescent="0.25">
      <c r="B357" s="160" t="s">
        <v>1234</v>
      </c>
      <c r="C357" s="355" t="s">
        <v>2</v>
      </c>
      <c r="D357" s="365" t="s">
        <v>544</v>
      </c>
      <c r="E357" s="366" t="s">
        <v>545</v>
      </c>
      <c r="F357" s="366" t="s">
        <v>546</v>
      </c>
      <c r="G357" s="307" t="s">
        <v>1235</v>
      </c>
      <c r="H357" s="82" t="s">
        <v>95</v>
      </c>
      <c r="I357" s="357">
        <v>100</v>
      </c>
      <c r="J357" s="276" t="s">
        <v>1255</v>
      </c>
      <c r="K357" s="367" t="s">
        <v>705</v>
      </c>
      <c r="L357" s="279"/>
      <c r="M357" s="362" t="s">
        <v>1132</v>
      </c>
      <c r="N357" s="279"/>
      <c r="O357" s="303"/>
      <c r="P357" s="358">
        <v>12140</v>
      </c>
      <c r="Q357" s="364">
        <v>12140</v>
      </c>
      <c r="R357" s="364"/>
      <c r="S357" s="204"/>
      <c r="T357" s="351"/>
      <c r="U357" s="301"/>
      <c r="V357" s="363">
        <v>0</v>
      </c>
      <c r="W357" s="302">
        <f t="shared" si="34"/>
        <v>0</v>
      </c>
      <c r="X357" s="231"/>
      <c r="Y357" s="135">
        <v>2014</v>
      </c>
      <c r="Z357" s="88" t="s">
        <v>996</v>
      </c>
      <c r="AD357" s="233"/>
      <c r="AE357" s="233"/>
      <c r="AF357" s="233"/>
      <c r="AG357" s="233"/>
    </row>
    <row r="358" spans="2:33" s="213" customFormat="1" ht="48" customHeight="1" x14ac:dyDescent="0.25">
      <c r="B358" s="160" t="s">
        <v>1236</v>
      </c>
      <c r="C358" s="355" t="s">
        <v>2</v>
      </c>
      <c r="D358" s="319" t="s">
        <v>744</v>
      </c>
      <c r="E358" s="319" t="s">
        <v>745</v>
      </c>
      <c r="F358" s="319" t="s">
        <v>745</v>
      </c>
      <c r="G358" s="319" t="s">
        <v>1237</v>
      </c>
      <c r="H358" s="82" t="s">
        <v>95</v>
      </c>
      <c r="I358" s="357">
        <v>0</v>
      </c>
      <c r="J358" s="276" t="s">
        <v>1016</v>
      </c>
      <c r="K358" s="367" t="s">
        <v>421</v>
      </c>
      <c r="L358" s="279"/>
      <c r="M358" s="308" t="s">
        <v>58</v>
      </c>
      <c r="N358" s="279"/>
      <c r="O358" s="303"/>
      <c r="P358" s="358">
        <v>551000</v>
      </c>
      <c r="Q358" s="364">
        <v>1322400</v>
      </c>
      <c r="R358" s="364">
        <v>1322400</v>
      </c>
      <c r="S358" s="364">
        <v>1322400</v>
      </c>
      <c r="T358" s="364">
        <v>1322400</v>
      </c>
      <c r="U358" s="301"/>
      <c r="V358" s="363">
        <v>5840600</v>
      </c>
      <c r="W358" s="302">
        <f t="shared" si="34"/>
        <v>6541472.0000000009</v>
      </c>
      <c r="X358" s="231"/>
      <c r="Y358" s="135">
        <v>2014</v>
      </c>
      <c r="Z358" s="304"/>
      <c r="AD358" s="233"/>
      <c r="AE358" s="233"/>
      <c r="AF358" s="233"/>
      <c r="AG358" s="233"/>
    </row>
    <row r="359" spans="2:33" s="213" customFormat="1" ht="48" customHeight="1" x14ac:dyDescent="0.25">
      <c r="B359" s="160" t="s">
        <v>1238</v>
      </c>
      <c r="C359" s="355" t="s">
        <v>2</v>
      </c>
      <c r="D359" s="368" t="s">
        <v>1239</v>
      </c>
      <c r="E359" s="368" t="s">
        <v>1080</v>
      </c>
      <c r="F359" s="368" t="s">
        <v>1240</v>
      </c>
      <c r="G359" s="368" t="s">
        <v>1241</v>
      </c>
      <c r="H359" s="82" t="s">
        <v>617</v>
      </c>
      <c r="I359" s="357">
        <v>100</v>
      </c>
      <c r="J359" s="276" t="s">
        <v>1233</v>
      </c>
      <c r="K359" s="371" t="s">
        <v>1242</v>
      </c>
      <c r="L359" s="279"/>
      <c r="M359" s="362" t="s">
        <v>1243</v>
      </c>
      <c r="N359" s="279"/>
      <c r="O359" s="303"/>
      <c r="P359" s="348">
        <v>66000</v>
      </c>
      <c r="Q359" s="348">
        <v>157000</v>
      </c>
      <c r="R359" s="348">
        <v>157000</v>
      </c>
      <c r="S359" s="348">
        <v>157000</v>
      </c>
      <c r="T359" s="348">
        <v>157000</v>
      </c>
      <c r="U359" s="301"/>
      <c r="V359" s="363">
        <v>694000</v>
      </c>
      <c r="W359" s="302">
        <f t="shared" si="34"/>
        <v>777280.00000000012</v>
      </c>
      <c r="X359" s="231"/>
      <c r="Y359" s="135">
        <v>2014</v>
      </c>
      <c r="Z359" s="304"/>
      <c r="AD359" s="233"/>
      <c r="AE359" s="233"/>
      <c r="AF359" s="233"/>
      <c r="AG359" s="233"/>
    </row>
    <row r="360" spans="2:33" s="213" customFormat="1" ht="48" customHeight="1" x14ac:dyDescent="0.25">
      <c r="B360" s="160" t="s">
        <v>1244</v>
      </c>
      <c r="C360" s="355" t="s">
        <v>2</v>
      </c>
      <c r="D360" s="369" t="s">
        <v>1246</v>
      </c>
      <c r="E360" s="369" t="s">
        <v>1247</v>
      </c>
      <c r="F360" s="369" t="s">
        <v>1248</v>
      </c>
      <c r="G360" s="369" t="s">
        <v>1249</v>
      </c>
      <c r="H360" s="103" t="s">
        <v>95</v>
      </c>
      <c r="I360" s="357">
        <v>0</v>
      </c>
      <c r="J360" s="370" t="s">
        <v>1021</v>
      </c>
      <c r="K360" s="369" t="s">
        <v>1251</v>
      </c>
      <c r="L360" s="279"/>
      <c r="M360" s="362" t="s">
        <v>1132</v>
      </c>
      <c r="N360" s="279"/>
      <c r="O360" s="372">
        <v>143815438.12</v>
      </c>
      <c r="P360" s="372">
        <v>304394853.95999998</v>
      </c>
      <c r="Q360" s="372">
        <v>304394853.95999998</v>
      </c>
      <c r="R360" s="372">
        <v>304394853.95999998</v>
      </c>
      <c r="S360" s="232"/>
      <c r="T360" s="364"/>
      <c r="U360" s="301"/>
      <c r="V360" s="363">
        <v>1057000000</v>
      </c>
      <c r="W360" s="302">
        <f t="shared" ref="W360:W362" si="36">V360*1.12</f>
        <v>1183840000</v>
      </c>
      <c r="X360" s="231"/>
      <c r="Y360" s="135">
        <v>2012</v>
      </c>
      <c r="Z360" s="304"/>
      <c r="AD360" s="233"/>
      <c r="AE360" s="233"/>
      <c r="AF360" s="233"/>
      <c r="AG360" s="233"/>
    </row>
    <row r="361" spans="2:33" s="213" customFormat="1" ht="48" customHeight="1" x14ac:dyDescent="0.25">
      <c r="B361" s="160" t="s">
        <v>1245</v>
      </c>
      <c r="C361" s="381" t="s">
        <v>2</v>
      </c>
      <c r="D361" s="382" t="s">
        <v>1246</v>
      </c>
      <c r="E361" s="382" t="s">
        <v>1247</v>
      </c>
      <c r="F361" s="382" t="s">
        <v>1248</v>
      </c>
      <c r="G361" s="382" t="s">
        <v>1250</v>
      </c>
      <c r="H361" s="383" t="s">
        <v>95</v>
      </c>
      <c r="I361" s="357">
        <v>0</v>
      </c>
      <c r="J361" s="370" t="s">
        <v>1021</v>
      </c>
      <c r="K361" s="369" t="s">
        <v>1251</v>
      </c>
      <c r="L361" s="279"/>
      <c r="M361" s="362" t="s">
        <v>1132</v>
      </c>
      <c r="N361" s="279"/>
      <c r="O361" s="372">
        <v>362554125.69999999</v>
      </c>
      <c r="P361" s="372">
        <v>231481958.09999999</v>
      </c>
      <c r="Q361" s="372">
        <v>231481958.09999999</v>
      </c>
      <c r="R361" s="372">
        <v>231481958.09999999</v>
      </c>
      <c r="S361" s="232"/>
      <c r="T361" s="351"/>
      <c r="U361" s="301"/>
      <c r="V361" s="363">
        <v>1057000000</v>
      </c>
      <c r="W361" s="302">
        <f t="shared" si="36"/>
        <v>1183840000</v>
      </c>
      <c r="X361" s="231"/>
      <c r="Y361" s="135">
        <v>2012</v>
      </c>
      <c r="Z361" s="304"/>
      <c r="AD361" s="233"/>
      <c r="AE361" s="233"/>
      <c r="AF361" s="233"/>
      <c r="AG361" s="233"/>
    </row>
    <row r="362" spans="2:33" s="213" customFormat="1" ht="48" customHeight="1" x14ac:dyDescent="0.25">
      <c r="B362" s="379" t="s">
        <v>1253</v>
      </c>
      <c r="C362" s="355" t="s">
        <v>2</v>
      </c>
      <c r="D362" s="275" t="s">
        <v>533</v>
      </c>
      <c r="E362" s="275" t="s">
        <v>534</v>
      </c>
      <c r="F362" s="275" t="s">
        <v>984</v>
      </c>
      <c r="G362" s="275" t="s">
        <v>1254</v>
      </c>
      <c r="H362" s="82" t="s">
        <v>95</v>
      </c>
      <c r="I362" s="380">
        <v>100</v>
      </c>
      <c r="J362" s="370" t="s">
        <v>1017</v>
      </c>
      <c r="K362" s="361" t="s">
        <v>1098</v>
      </c>
      <c r="L362" s="279"/>
      <c r="M362" s="362" t="s">
        <v>1132</v>
      </c>
      <c r="N362" s="279"/>
      <c r="O362" s="372"/>
      <c r="P362" s="372">
        <v>4500</v>
      </c>
      <c r="Q362" s="372">
        <v>10800</v>
      </c>
      <c r="R362" s="372"/>
      <c r="S362" s="232"/>
      <c r="T362" s="351"/>
      <c r="U362" s="301"/>
      <c r="V362" s="363">
        <v>15300</v>
      </c>
      <c r="W362" s="302">
        <f t="shared" si="36"/>
        <v>17136</v>
      </c>
      <c r="X362" s="231"/>
      <c r="Y362" s="135">
        <v>2014</v>
      </c>
      <c r="Z362" s="304"/>
      <c r="AD362" s="233"/>
      <c r="AE362" s="233"/>
      <c r="AF362" s="233"/>
      <c r="AG362" s="233"/>
    </row>
    <row r="363" spans="2:33" s="213" customFormat="1" ht="48" customHeight="1" x14ac:dyDescent="0.25">
      <c r="B363" s="379" t="s">
        <v>1256</v>
      </c>
      <c r="C363" s="355" t="s">
        <v>2</v>
      </c>
      <c r="D363" s="386" t="s">
        <v>295</v>
      </c>
      <c r="E363" s="386" t="s">
        <v>296</v>
      </c>
      <c r="F363" s="386" t="s">
        <v>296</v>
      </c>
      <c r="G363" s="386" t="s">
        <v>1257</v>
      </c>
      <c r="H363" s="82" t="s">
        <v>95</v>
      </c>
      <c r="I363" s="357">
        <v>0</v>
      </c>
      <c r="J363" s="276" t="s">
        <v>1018</v>
      </c>
      <c r="K363" s="163" t="s">
        <v>485</v>
      </c>
      <c r="L363" s="279"/>
      <c r="M363" s="362" t="s">
        <v>1132</v>
      </c>
      <c r="N363" s="279"/>
      <c r="O363" s="384"/>
      <c r="P363" s="317">
        <v>271209167</v>
      </c>
      <c r="Q363" s="317">
        <v>271209167</v>
      </c>
      <c r="R363" s="317">
        <v>271209167</v>
      </c>
      <c r="S363" s="384"/>
      <c r="T363" s="384"/>
      <c r="U363" s="384"/>
      <c r="V363" s="302">
        <v>813627500</v>
      </c>
      <c r="W363" s="302">
        <f t="shared" ref="W363" si="37">V363*1.12</f>
        <v>911262800.00000012</v>
      </c>
      <c r="X363" s="231"/>
      <c r="Y363" s="135">
        <v>2014</v>
      </c>
      <c r="Z363" s="304"/>
      <c r="AD363" s="233"/>
      <c r="AE363" s="233"/>
      <c r="AF363" s="233"/>
      <c r="AG363" s="233"/>
    </row>
    <row r="364" spans="2:33" s="213" customFormat="1" ht="48" customHeight="1" x14ac:dyDescent="0.25">
      <c r="B364" s="379" t="s">
        <v>1259</v>
      </c>
      <c r="C364" s="385" t="s">
        <v>2</v>
      </c>
      <c r="D364" s="160" t="s">
        <v>295</v>
      </c>
      <c r="E364" s="160" t="s">
        <v>296</v>
      </c>
      <c r="F364" s="160" t="s">
        <v>296</v>
      </c>
      <c r="G364" s="160" t="s">
        <v>1260</v>
      </c>
      <c r="H364" s="103" t="s">
        <v>95</v>
      </c>
      <c r="I364" s="357">
        <v>0</v>
      </c>
      <c r="J364" s="276" t="s">
        <v>1017</v>
      </c>
      <c r="K364" s="163" t="s">
        <v>444</v>
      </c>
      <c r="L364" s="279"/>
      <c r="M364" s="362" t="s">
        <v>1132</v>
      </c>
      <c r="N364" s="279"/>
      <c r="O364" s="384"/>
      <c r="P364" s="204">
        <v>2040000</v>
      </c>
      <c r="Q364" s="204">
        <v>2040000</v>
      </c>
      <c r="R364" s="204">
        <v>2040000</v>
      </c>
      <c r="S364" s="389"/>
      <c r="T364" s="384"/>
      <c r="U364" s="384"/>
      <c r="V364" s="302">
        <v>6120000</v>
      </c>
      <c r="W364" s="302">
        <f t="shared" ref="W364" si="38">V364*1.12</f>
        <v>6854400.0000000009</v>
      </c>
      <c r="X364" s="231"/>
      <c r="Y364" s="135">
        <v>2014</v>
      </c>
      <c r="Z364" s="304"/>
      <c r="AD364" s="233"/>
      <c r="AE364" s="233"/>
      <c r="AF364" s="233"/>
      <c r="AG364" s="233"/>
    </row>
    <row r="365" spans="2:33" s="213" customFormat="1" ht="48" customHeight="1" x14ac:dyDescent="0.25">
      <c r="B365" s="379" t="s">
        <v>1261</v>
      </c>
      <c r="C365" s="385" t="s">
        <v>2</v>
      </c>
      <c r="D365" s="82" t="s">
        <v>295</v>
      </c>
      <c r="E365" s="82" t="s">
        <v>296</v>
      </c>
      <c r="F365" s="82" t="s">
        <v>296</v>
      </c>
      <c r="G365" s="82" t="s">
        <v>1257</v>
      </c>
      <c r="H365" s="103" t="s">
        <v>95</v>
      </c>
      <c r="I365" s="357">
        <v>0</v>
      </c>
      <c r="J365" s="276" t="s">
        <v>1018</v>
      </c>
      <c r="K365" s="163" t="s">
        <v>1262</v>
      </c>
      <c r="L365" s="279"/>
      <c r="M365" s="362" t="s">
        <v>1132</v>
      </c>
      <c r="N365" s="279"/>
      <c r="O365" s="384"/>
      <c r="P365" s="88">
        <v>187992500</v>
      </c>
      <c r="Q365" s="88">
        <v>187992500</v>
      </c>
      <c r="R365" s="88">
        <v>187992500</v>
      </c>
      <c r="S365" s="389"/>
      <c r="T365" s="384"/>
      <c r="U365" s="384"/>
      <c r="V365" s="302">
        <v>563977500</v>
      </c>
      <c r="W365" s="302">
        <f t="shared" ref="W365" si="39">V365*1.12</f>
        <v>631654800.00000012</v>
      </c>
      <c r="X365" s="231"/>
      <c r="Y365" s="135">
        <v>2014</v>
      </c>
      <c r="Z365" s="304"/>
      <c r="AD365" s="233"/>
      <c r="AE365" s="233"/>
      <c r="AF365" s="233"/>
      <c r="AG365" s="233"/>
    </row>
    <row r="366" spans="2:33" s="213" customFormat="1" ht="48" customHeight="1" x14ac:dyDescent="0.25">
      <c r="B366" s="379" t="s">
        <v>1263</v>
      </c>
      <c r="C366" s="385" t="s">
        <v>2</v>
      </c>
      <c r="D366" s="386" t="s">
        <v>574</v>
      </c>
      <c r="E366" s="386" t="s">
        <v>575</v>
      </c>
      <c r="F366" s="386" t="s">
        <v>575</v>
      </c>
      <c r="G366" s="386" t="s">
        <v>1264</v>
      </c>
      <c r="H366" s="103" t="s">
        <v>95</v>
      </c>
      <c r="I366" s="357">
        <v>0</v>
      </c>
      <c r="J366" s="276" t="s">
        <v>1018</v>
      </c>
      <c r="K366" s="163" t="s">
        <v>1262</v>
      </c>
      <c r="L366" s="279"/>
      <c r="M366" s="362" t="s">
        <v>1132</v>
      </c>
      <c r="N366" s="279"/>
      <c r="O366" s="384"/>
      <c r="P366" s="312">
        <v>48894385</v>
      </c>
      <c r="Q366" s="390">
        <v>146683150</v>
      </c>
      <c r="R366" s="390">
        <v>146683150</v>
      </c>
      <c r="S366" s="389"/>
      <c r="T366" s="384"/>
      <c r="U366" s="384"/>
      <c r="V366" s="302">
        <v>342260685</v>
      </c>
      <c r="W366" s="302">
        <f t="shared" ref="W366" si="40">V366*1.12</f>
        <v>383331967.20000005</v>
      </c>
      <c r="X366" s="231"/>
      <c r="Y366" s="135">
        <v>2014</v>
      </c>
      <c r="Z366" s="304"/>
      <c r="AD366" s="233"/>
      <c r="AE366" s="233"/>
      <c r="AF366" s="233"/>
      <c r="AG366" s="233"/>
    </row>
    <row r="367" spans="2:33" s="213" customFormat="1" ht="48" customHeight="1" x14ac:dyDescent="0.25">
      <c r="B367" s="379" t="s">
        <v>1265</v>
      </c>
      <c r="C367" s="385" t="s">
        <v>2</v>
      </c>
      <c r="D367" s="391" t="s">
        <v>412</v>
      </c>
      <c r="E367" s="391" t="s">
        <v>413</v>
      </c>
      <c r="F367" s="392" t="s">
        <v>413</v>
      </c>
      <c r="G367" s="392" t="s">
        <v>1266</v>
      </c>
      <c r="H367" s="103" t="s">
        <v>95</v>
      </c>
      <c r="I367" s="357">
        <v>0</v>
      </c>
      <c r="J367" s="276" t="s">
        <v>1018</v>
      </c>
      <c r="K367" s="163" t="s">
        <v>581</v>
      </c>
      <c r="L367" s="279"/>
      <c r="M367" s="362" t="s">
        <v>1132</v>
      </c>
      <c r="N367" s="279"/>
      <c r="O367" s="384"/>
      <c r="P367" s="312">
        <v>840000</v>
      </c>
      <c r="Q367" s="390">
        <v>1683528</v>
      </c>
      <c r="R367" s="390">
        <v>1683528</v>
      </c>
      <c r="S367" s="389"/>
      <c r="T367" s="384"/>
      <c r="U367" s="384"/>
      <c r="V367" s="302">
        <v>4207056</v>
      </c>
      <c r="W367" s="302">
        <f t="shared" ref="W367:W370" si="41">V367*1.12</f>
        <v>4711902.7200000007</v>
      </c>
      <c r="X367" s="231"/>
      <c r="Y367" s="135">
        <v>2014</v>
      </c>
      <c r="Z367" s="304"/>
      <c r="AD367" s="233"/>
      <c r="AE367" s="233"/>
      <c r="AF367" s="233"/>
      <c r="AG367" s="233"/>
    </row>
    <row r="368" spans="2:33" s="213" customFormat="1" ht="48" customHeight="1" x14ac:dyDescent="0.25">
      <c r="B368" s="379" t="s">
        <v>1267</v>
      </c>
      <c r="C368" s="385" t="s">
        <v>2</v>
      </c>
      <c r="D368" s="393" t="s">
        <v>412</v>
      </c>
      <c r="E368" s="393" t="s">
        <v>413</v>
      </c>
      <c r="F368" s="394" t="s">
        <v>413</v>
      </c>
      <c r="G368" s="394" t="s">
        <v>1268</v>
      </c>
      <c r="H368" s="103" t="s">
        <v>95</v>
      </c>
      <c r="I368" s="357">
        <v>0</v>
      </c>
      <c r="J368" s="276" t="s">
        <v>1018</v>
      </c>
      <c r="K368" s="163" t="s">
        <v>1269</v>
      </c>
      <c r="L368" s="279"/>
      <c r="M368" s="362" t="s">
        <v>1132</v>
      </c>
      <c r="N368" s="279"/>
      <c r="O368" s="384"/>
      <c r="P368" s="309">
        <v>6649500</v>
      </c>
      <c r="Q368" s="309">
        <v>6649500</v>
      </c>
      <c r="R368" s="395"/>
      <c r="S368" s="384"/>
      <c r="T368" s="384"/>
      <c r="U368" s="384"/>
      <c r="V368" s="302">
        <v>13299000</v>
      </c>
      <c r="W368" s="302">
        <f t="shared" si="41"/>
        <v>14894880.000000002</v>
      </c>
      <c r="X368" s="231"/>
      <c r="Y368" s="135">
        <v>2014</v>
      </c>
      <c r="Z368" s="304"/>
      <c r="AD368" s="233"/>
      <c r="AE368" s="233"/>
      <c r="AF368" s="233"/>
      <c r="AG368" s="233"/>
    </row>
    <row r="369" spans="2:33" s="213" customFormat="1" ht="48" customHeight="1" x14ac:dyDescent="0.25">
      <c r="B369" s="379" t="s">
        <v>1270</v>
      </c>
      <c r="C369" s="385" t="s">
        <v>2</v>
      </c>
      <c r="D369" s="393" t="s">
        <v>412</v>
      </c>
      <c r="E369" s="393" t="s">
        <v>413</v>
      </c>
      <c r="F369" s="394" t="s">
        <v>413</v>
      </c>
      <c r="G369" s="394" t="s">
        <v>1271</v>
      </c>
      <c r="H369" s="103" t="s">
        <v>95</v>
      </c>
      <c r="I369" s="357">
        <v>0</v>
      </c>
      <c r="J369" s="276" t="s">
        <v>502</v>
      </c>
      <c r="K369" s="163" t="s">
        <v>1272</v>
      </c>
      <c r="L369" s="279"/>
      <c r="M369" s="362" t="s">
        <v>1132</v>
      </c>
      <c r="N369" s="279"/>
      <c r="O369" s="384"/>
      <c r="P369" s="309">
        <v>3876500</v>
      </c>
      <c r="Q369" s="309">
        <v>5814750</v>
      </c>
      <c r="R369" s="309">
        <v>5814750</v>
      </c>
      <c r="S369" s="384"/>
      <c r="T369" s="384"/>
      <c r="U369" s="384"/>
      <c r="V369" s="302">
        <v>15506000</v>
      </c>
      <c r="W369" s="302">
        <f t="shared" si="41"/>
        <v>17366720</v>
      </c>
      <c r="X369" s="231"/>
      <c r="Y369" s="135">
        <v>2014</v>
      </c>
      <c r="Z369" s="304"/>
      <c r="AD369" s="233"/>
      <c r="AE369" s="233"/>
      <c r="AF369" s="233"/>
      <c r="AG369" s="233"/>
    </row>
    <row r="370" spans="2:33" s="213" customFormat="1" ht="48" customHeight="1" x14ac:dyDescent="0.25">
      <c r="B370" s="379" t="s">
        <v>1275</v>
      </c>
      <c r="C370" s="385" t="s">
        <v>2</v>
      </c>
      <c r="D370" s="276" t="s">
        <v>539</v>
      </c>
      <c r="E370" s="276" t="s">
        <v>540</v>
      </c>
      <c r="F370" s="276" t="s">
        <v>540</v>
      </c>
      <c r="G370" s="276" t="s">
        <v>1274</v>
      </c>
      <c r="H370" s="276" t="s">
        <v>3</v>
      </c>
      <c r="I370" s="276">
        <v>100</v>
      </c>
      <c r="J370" s="276" t="s">
        <v>1018</v>
      </c>
      <c r="K370" s="276" t="s">
        <v>340</v>
      </c>
      <c r="L370" s="276"/>
      <c r="M370" s="276" t="s">
        <v>709</v>
      </c>
      <c r="N370" s="276"/>
      <c r="O370" s="384"/>
      <c r="P370" s="309">
        <v>7944343.6500000004</v>
      </c>
      <c r="Q370" s="309">
        <v>31777374.600000001</v>
      </c>
      <c r="R370" s="309">
        <v>31777374.600000001</v>
      </c>
      <c r="S370" s="384"/>
      <c r="T370" s="384"/>
      <c r="U370" s="384"/>
      <c r="V370" s="302">
        <v>71499092.849999994</v>
      </c>
      <c r="W370" s="302">
        <f t="shared" si="41"/>
        <v>80078983.991999999</v>
      </c>
      <c r="X370" s="231"/>
      <c r="Y370" s="135">
        <v>2014</v>
      </c>
      <c r="Z370" s="304"/>
      <c r="AD370" s="233"/>
      <c r="AE370" s="233"/>
      <c r="AF370" s="233"/>
      <c r="AG370" s="233"/>
    </row>
    <row r="371" spans="2:33" s="213" customFormat="1" ht="48" customHeight="1" x14ac:dyDescent="0.25">
      <c r="B371" s="379" t="s">
        <v>1276</v>
      </c>
      <c r="C371" s="385" t="s">
        <v>2</v>
      </c>
      <c r="D371" s="393" t="s">
        <v>412</v>
      </c>
      <c r="E371" s="393" t="s">
        <v>413</v>
      </c>
      <c r="F371" s="394" t="s">
        <v>413</v>
      </c>
      <c r="G371" s="394" t="s">
        <v>1277</v>
      </c>
      <c r="H371" s="276" t="s">
        <v>95</v>
      </c>
      <c r="I371" s="276">
        <v>0</v>
      </c>
      <c r="J371" s="276" t="s">
        <v>1018</v>
      </c>
      <c r="K371" s="396" t="s">
        <v>1278</v>
      </c>
      <c r="L371" s="276"/>
      <c r="M371" s="362" t="s">
        <v>1132</v>
      </c>
      <c r="N371" s="276"/>
      <c r="O371" s="384"/>
      <c r="P371" s="309">
        <v>9532325</v>
      </c>
      <c r="Q371" s="309">
        <v>14298487.5</v>
      </c>
      <c r="R371" s="309">
        <v>14298487.5</v>
      </c>
      <c r="S371" s="384"/>
      <c r="T371" s="384"/>
      <c r="U371" s="384"/>
      <c r="V371" s="302">
        <v>38129300</v>
      </c>
      <c r="W371" s="302">
        <f t="shared" ref="W371:W401" si="42">V371*1.12</f>
        <v>42704816.000000007</v>
      </c>
      <c r="X371" s="231"/>
      <c r="Y371" s="135">
        <v>2014</v>
      </c>
      <c r="Z371" s="304"/>
      <c r="AD371" s="233"/>
      <c r="AE371" s="233"/>
      <c r="AF371" s="233"/>
      <c r="AG371" s="233"/>
    </row>
    <row r="372" spans="2:33" s="213" customFormat="1" ht="48" customHeight="1" x14ac:dyDescent="0.25">
      <c r="B372" s="379" t="s">
        <v>1279</v>
      </c>
      <c r="C372" s="385" t="s">
        <v>2</v>
      </c>
      <c r="D372" s="283" t="s">
        <v>295</v>
      </c>
      <c r="E372" s="283" t="s">
        <v>296</v>
      </c>
      <c r="F372" s="283" t="s">
        <v>296</v>
      </c>
      <c r="G372" s="283" t="s">
        <v>1280</v>
      </c>
      <c r="H372" s="276" t="s">
        <v>95</v>
      </c>
      <c r="I372" s="354">
        <v>0</v>
      </c>
      <c r="J372" s="288" t="s">
        <v>1018</v>
      </c>
      <c r="K372" s="398" t="s">
        <v>1281</v>
      </c>
      <c r="L372" s="288"/>
      <c r="M372" s="399" t="s">
        <v>1132</v>
      </c>
      <c r="N372" s="288"/>
      <c r="O372" s="400"/>
      <c r="P372" s="315">
        <v>140994375</v>
      </c>
      <c r="Q372" s="315">
        <v>211491562.5</v>
      </c>
      <c r="R372" s="315">
        <v>211491562.5</v>
      </c>
      <c r="S372" s="315"/>
      <c r="T372" s="400"/>
      <c r="U372" s="400"/>
      <c r="V372" s="317">
        <v>563977500</v>
      </c>
      <c r="W372" s="317">
        <f t="shared" si="42"/>
        <v>631654800.00000012</v>
      </c>
      <c r="X372" s="293"/>
      <c r="Y372" s="294">
        <v>2014</v>
      </c>
      <c r="Z372" s="304"/>
      <c r="AD372" s="233"/>
      <c r="AE372" s="233"/>
      <c r="AF372" s="233"/>
      <c r="AG372" s="233"/>
    </row>
    <row r="373" spans="2:33" s="213" customFormat="1" ht="48" customHeight="1" x14ac:dyDescent="0.25">
      <c r="B373" s="379" t="s">
        <v>1282</v>
      </c>
      <c r="C373" s="385" t="s">
        <v>2</v>
      </c>
      <c r="D373" s="319" t="s">
        <v>706</v>
      </c>
      <c r="E373" s="319" t="s">
        <v>707</v>
      </c>
      <c r="F373" s="319" t="s">
        <v>707</v>
      </c>
      <c r="G373" s="319" t="s">
        <v>1285</v>
      </c>
      <c r="H373" s="397" t="s">
        <v>617</v>
      </c>
      <c r="I373" s="276">
        <v>0</v>
      </c>
      <c r="J373" s="288" t="s">
        <v>1059</v>
      </c>
      <c r="K373" s="319" t="s">
        <v>1286</v>
      </c>
      <c r="L373" s="276"/>
      <c r="M373" s="319" t="s">
        <v>1288</v>
      </c>
      <c r="N373" s="276"/>
      <c r="O373" s="384"/>
      <c r="P373" s="351">
        <f>48300+204250</f>
        <v>252550</v>
      </c>
      <c r="Q373" s="351">
        <f>193000+204250</f>
        <v>397250</v>
      </c>
      <c r="R373" s="309"/>
      <c r="S373" s="309"/>
      <c r="T373" s="384"/>
      <c r="U373" s="317"/>
      <c r="V373" s="317">
        <v>649800</v>
      </c>
      <c r="W373" s="317">
        <f t="shared" si="42"/>
        <v>727776.00000000012</v>
      </c>
      <c r="X373" s="231"/>
      <c r="Y373" s="135">
        <v>2014</v>
      </c>
      <c r="Z373" s="304"/>
      <c r="AD373" s="233"/>
      <c r="AE373" s="233"/>
      <c r="AF373" s="233"/>
      <c r="AG373" s="233"/>
    </row>
    <row r="374" spans="2:33" s="213" customFormat="1" ht="48" customHeight="1" x14ac:dyDescent="0.25">
      <c r="B374" s="379" t="s">
        <v>1283</v>
      </c>
      <c r="C374" s="385" t="s">
        <v>2</v>
      </c>
      <c r="D374" s="319" t="s">
        <v>706</v>
      </c>
      <c r="E374" s="319" t="s">
        <v>707</v>
      </c>
      <c r="F374" s="319" t="s">
        <v>707</v>
      </c>
      <c r="G374" s="319" t="s">
        <v>1285</v>
      </c>
      <c r="H374" s="401" t="s">
        <v>617</v>
      </c>
      <c r="I374" s="288">
        <v>0</v>
      </c>
      <c r="J374" s="288" t="s">
        <v>1059</v>
      </c>
      <c r="K374" s="368" t="s">
        <v>1287</v>
      </c>
      <c r="L374" s="288"/>
      <c r="M374" s="368" t="s">
        <v>1288</v>
      </c>
      <c r="N374" s="288"/>
      <c r="O374" s="400"/>
      <c r="P374" s="348">
        <f>48300+204250</f>
        <v>252550</v>
      </c>
      <c r="Q374" s="348">
        <f>193000+204250</f>
        <v>397250</v>
      </c>
      <c r="R374" s="315"/>
      <c r="S374" s="315"/>
      <c r="T374" s="400"/>
      <c r="U374" s="317"/>
      <c r="V374" s="317">
        <v>649800</v>
      </c>
      <c r="W374" s="317">
        <f t="shared" si="42"/>
        <v>727776.00000000012</v>
      </c>
      <c r="X374" s="293"/>
      <c r="Y374" s="294">
        <v>2014</v>
      </c>
      <c r="Z374" s="318"/>
      <c r="AD374" s="233"/>
      <c r="AE374" s="233"/>
      <c r="AF374" s="233"/>
      <c r="AG374" s="233"/>
    </row>
    <row r="375" spans="2:33" s="213" customFormat="1" ht="48" customHeight="1" x14ac:dyDescent="0.25">
      <c r="B375" s="379" t="s">
        <v>1289</v>
      </c>
      <c r="C375" s="385" t="s">
        <v>2</v>
      </c>
      <c r="D375" s="275" t="s">
        <v>744</v>
      </c>
      <c r="E375" s="275" t="s">
        <v>745</v>
      </c>
      <c r="F375" s="275" t="s">
        <v>745</v>
      </c>
      <c r="G375" s="275" t="s">
        <v>1013</v>
      </c>
      <c r="H375" s="276" t="s">
        <v>95</v>
      </c>
      <c r="I375" s="276">
        <v>0</v>
      </c>
      <c r="J375" s="276" t="s">
        <v>1018</v>
      </c>
      <c r="K375" s="132" t="s">
        <v>1292</v>
      </c>
      <c r="L375" s="276"/>
      <c r="M375" s="362" t="s">
        <v>1132</v>
      </c>
      <c r="N375" s="276"/>
      <c r="O375" s="384"/>
      <c r="P375" s="372">
        <v>1479630</v>
      </c>
      <c r="Q375" s="372">
        <v>5918520</v>
      </c>
      <c r="R375" s="372">
        <v>5918520</v>
      </c>
      <c r="S375" s="372">
        <v>5918520</v>
      </c>
      <c r="T375" s="384"/>
      <c r="U375" s="317"/>
      <c r="V375" s="317">
        <v>19235190</v>
      </c>
      <c r="W375" s="317">
        <f t="shared" si="42"/>
        <v>21543412.800000001</v>
      </c>
      <c r="X375" s="231"/>
      <c r="Y375" s="135">
        <v>2014</v>
      </c>
      <c r="Z375" s="304"/>
      <c r="AD375" s="233"/>
      <c r="AE375" s="233"/>
      <c r="AF375" s="233"/>
      <c r="AG375" s="233"/>
    </row>
    <row r="376" spans="2:33" s="213" customFormat="1" ht="48" customHeight="1" x14ac:dyDescent="0.25">
      <c r="B376" s="379" t="s">
        <v>1290</v>
      </c>
      <c r="C376" s="385" t="s">
        <v>2</v>
      </c>
      <c r="D376" s="275" t="s">
        <v>533</v>
      </c>
      <c r="E376" s="275" t="s">
        <v>534</v>
      </c>
      <c r="F376" s="275" t="s">
        <v>984</v>
      </c>
      <c r="G376" s="275" t="s">
        <v>1291</v>
      </c>
      <c r="H376" s="276" t="s">
        <v>95</v>
      </c>
      <c r="I376" s="276">
        <v>0</v>
      </c>
      <c r="J376" s="276" t="s">
        <v>1018</v>
      </c>
      <c r="K376" s="132" t="s">
        <v>1292</v>
      </c>
      <c r="L376" s="276"/>
      <c r="M376" s="362" t="s">
        <v>1132</v>
      </c>
      <c r="N376" s="288"/>
      <c r="O376" s="400"/>
      <c r="P376" s="403">
        <v>5918.52</v>
      </c>
      <c r="Q376" s="403">
        <v>17755.560000000001</v>
      </c>
      <c r="R376" s="403">
        <v>17755.560000000001</v>
      </c>
      <c r="S376" s="403">
        <v>17755.560000000001</v>
      </c>
      <c r="T376" s="400"/>
      <c r="U376" s="317"/>
      <c r="V376" s="317">
        <v>59185.2</v>
      </c>
      <c r="W376" s="317">
        <f t="shared" si="42"/>
        <v>66287.423999999999</v>
      </c>
      <c r="X376" s="231"/>
      <c r="Y376" s="135">
        <v>2014</v>
      </c>
      <c r="Z376" s="304"/>
      <c r="AD376" s="233"/>
      <c r="AE376" s="233"/>
      <c r="AF376" s="233"/>
      <c r="AG376" s="233"/>
    </row>
    <row r="377" spans="2:33" s="213" customFormat="1" ht="48" customHeight="1" x14ac:dyDescent="0.25">
      <c r="B377" s="379" t="s">
        <v>1293</v>
      </c>
      <c r="C377" s="385" t="s">
        <v>2</v>
      </c>
      <c r="D377" s="283" t="s">
        <v>295</v>
      </c>
      <c r="E377" s="283" t="s">
        <v>296</v>
      </c>
      <c r="F377" s="283" t="s">
        <v>296</v>
      </c>
      <c r="G377" s="283" t="s">
        <v>1294</v>
      </c>
      <c r="H377" s="276" t="s">
        <v>95</v>
      </c>
      <c r="I377" s="276">
        <v>0</v>
      </c>
      <c r="J377" s="276" t="s">
        <v>502</v>
      </c>
      <c r="K377" s="283" t="s">
        <v>1295</v>
      </c>
      <c r="L377" s="276"/>
      <c r="M377" s="283" t="s">
        <v>1132</v>
      </c>
      <c r="N377" s="276"/>
      <c r="O377" s="400"/>
      <c r="P377" s="405">
        <v>82289189.189189196</v>
      </c>
      <c r="Q377" s="405">
        <v>197494054.05405405</v>
      </c>
      <c r="R377" s="405">
        <v>197494054.05405405</v>
      </c>
      <c r="S377" s="405">
        <v>131662702.7027027</v>
      </c>
      <c r="T377" s="400"/>
      <c r="U377" s="317"/>
      <c r="V377" s="405">
        <v>608940000</v>
      </c>
      <c r="W377" s="317">
        <f t="shared" si="42"/>
        <v>682012800.00000012</v>
      </c>
      <c r="X377" s="402"/>
      <c r="Y377" s="294">
        <v>2014</v>
      </c>
      <c r="Z377" s="318"/>
      <c r="AD377" s="233"/>
      <c r="AE377" s="233"/>
      <c r="AF377" s="233"/>
      <c r="AG377" s="233"/>
    </row>
    <row r="378" spans="2:33" s="213" customFormat="1" ht="48" customHeight="1" x14ac:dyDescent="0.25">
      <c r="B378" s="379" t="s">
        <v>1297</v>
      </c>
      <c r="C378" s="385" t="s">
        <v>2</v>
      </c>
      <c r="D378" s="82" t="s">
        <v>1138</v>
      </c>
      <c r="E378" s="82" t="s">
        <v>1139</v>
      </c>
      <c r="F378" s="82" t="s">
        <v>1139</v>
      </c>
      <c r="G378" s="82" t="s">
        <v>1298</v>
      </c>
      <c r="H378" s="276" t="s">
        <v>95</v>
      </c>
      <c r="I378" s="288">
        <v>0</v>
      </c>
      <c r="J378" s="288" t="s">
        <v>1018</v>
      </c>
      <c r="K378" s="386" t="s">
        <v>1295</v>
      </c>
      <c r="L378" s="354"/>
      <c r="M378" s="386" t="s">
        <v>1132</v>
      </c>
      <c r="N378" s="288"/>
      <c r="O378" s="400"/>
      <c r="P378" s="405">
        <v>800000</v>
      </c>
      <c r="Q378" s="405">
        <v>1600000</v>
      </c>
      <c r="R378" s="405">
        <v>1600000</v>
      </c>
      <c r="S378" s="404"/>
      <c r="T378" s="384"/>
      <c r="U378" s="302"/>
      <c r="V378" s="404">
        <v>4000000</v>
      </c>
      <c r="W378" s="302">
        <f t="shared" si="42"/>
        <v>4480000</v>
      </c>
      <c r="X378" s="231"/>
      <c r="Y378" s="135">
        <v>2014</v>
      </c>
      <c r="Z378" s="304"/>
      <c r="AD378" s="233"/>
      <c r="AE378" s="233"/>
      <c r="AF378" s="233"/>
      <c r="AG378" s="233"/>
    </row>
    <row r="379" spans="2:33" s="213" customFormat="1" ht="48" customHeight="1" x14ac:dyDescent="0.25">
      <c r="B379" s="379" t="s">
        <v>1299</v>
      </c>
      <c r="C379" s="385" t="s">
        <v>2</v>
      </c>
      <c r="D379" s="279" t="s">
        <v>489</v>
      </c>
      <c r="E379" s="279" t="s">
        <v>1300</v>
      </c>
      <c r="F379" s="279" t="s">
        <v>1301</v>
      </c>
      <c r="G379" s="279" t="s">
        <v>1302</v>
      </c>
      <c r="H379" s="276" t="s">
        <v>95</v>
      </c>
      <c r="I379" s="276">
        <v>0</v>
      </c>
      <c r="J379" s="276" t="s">
        <v>502</v>
      </c>
      <c r="K379" s="283" t="s">
        <v>1148</v>
      </c>
      <c r="L379" s="276"/>
      <c r="M379" s="283" t="s">
        <v>1132</v>
      </c>
      <c r="N379" s="276"/>
      <c r="O379" s="384"/>
      <c r="P379" s="309">
        <v>2250000</v>
      </c>
      <c r="Q379" s="309">
        <v>9000000</v>
      </c>
      <c r="R379" s="309">
        <v>9000000</v>
      </c>
      <c r="S379" s="404"/>
      <c r="T379" s="384"/>
      <c r="U379" s="302"/>
      <c r="V379" s="309">
        <v>0</v>
      </c>
      <c r="W379" s="302">
        <f t="shared" si="42"/>
        <v>0</v>
      </c>
      <c r="X379" s="231"/>
      <c r="Y379" s="135">
        <v>2014</v>
      </c>
      <c r="Z379" s="411" t="s">
        <v>996</v>
      </c>
      <c r="AD379" s="233"/>
      <c r="AE379" s="233"/>
      <c r="AF379" s="233"/>
      <c r="AG379" s="233"/>
    </row>
    <row r="380" spans="2:33" s="213" customFormat="1" ht="48" customHeight="1" x14ac:dyDescent="0.25">
      <c r="B380" s="379" t="s">
        <v>1354</v>
      </c>
      <c r="C380" s="414" t="s">
        <v>2</v>
      </c>
      <c r="D380" s="279" t="s">
        <v>489</v>
      </c>
      <c r="E380" s="279" t="s">
        <v>1300</v>
      </c>
      <c r="F380" s="279" t="s">
        <v>1301</v>
      </c>
      <c r="G380" s="279" t="s">
        <v>1353</v>
      </c>
      <c r="H380" s="214" t="s">
        <v>95</v>
      </c>
      <c r="I380" s="214">
        <v>0</v>
      </c>
      <c r="J380" s="283" t="s">
        <v>502</v>
      </c>
      <c r="K380" s="283" t="s">
        <v>1148</v>
      </c>
      <c r="L380" s="283"/>
      <c r="M380" s="283" t="s">
        <v>1132</v>
      </c>
      <c r="N380" s="283" t="s">
        <v>1331</v>
      </c>
      <c r="O380" s="409"/>
      <c r="P380" s="309">
        <v>2250000</v>
      </c>
      <c r="Q380" s="309">
        <v>6000000</v>
      </c>
      <c r="R380" s="309">
        <v>6000000</v>
      </c>
      <c r="S380" s="309">
        <v>6000000</v>
      </c>
      <c r="T380" s="214"/>
      <c r="U380" s="214"/>
      <c r="V380" s="416">
        <v>20250000</v>
      </c>
      <c r="W380" s="302">
        <f t="shared" ref="W380" si="43">V380*1.12</f>
        <v>22680000.000000004</v>
      </c>
      <c r="X380" s="231"/>
      <c r="Y380" s="135">
        <v>2014</v>
      </c>
      <c r="Z380" s="304"/>
      <c r="AD380" s="233"/>
      <c r="AE380" s="233"/>
      <c r="AF380" s="233"/>
      <c r="AG380" s="233"/>
    </row>
    <row r="381" spans="2:33" s="213" customFormat="1" ht="48" customHeight="1" x14ac:dyDescent="0.25">
      <c r="B381" s="379" t="s">
        <v>1303</v>
      </c>
      <c r="C381" s="355" t="s">
        <v>2</v>
      </c>
      <c r="D381" s="283" t="s">
        <v>935</v>
      </c>
      <c r="E381" s="283" t="s">
        <v>413</v>
      </c>
      <c r="F381" s="283" t="s">
        <v>413</v>
      </c>
      <c r="G381" s="283" t="s">
        <v>1304</v>
      </c>
      <c r="H381" s="276" t="s">
        <v>95</v>
      </c>
      <c r="I381" s="276">
        <v>0</v>
      </c>
      <c r="J381" s="276" t="s">
        <v>502</v>
      </c>
      <c r="K381" s="283" t="s">
        <v>1147</v>
      </c>
      <c r="L381" s="384"/>
      <c r="M381" s="406" t="s">
        <v>1132</v>
      </c>
      <c r="N381" s="384"/>
      <c r="O381" s="384"/>
      <c r="P381" s="407">
        <v>460000</v>
      </c>
      <c r="Q381" s="407">
        <v>1380000</v>
      </c>
      <c r="R381" s="400"/>
      <c r="S381" s="400"/>
      <c r="T381" s="400"/>
      <c r="U381" s="400"/>
      <c r="V381" s="410">
        <v>0</v>
      </c>
      <c r="W381" s="317">
        <f t="shared" si="42"/>
        <v>0</v>
      </c>
      <c r="X381" s="402"/>
      <c r="Y381" s="294">
        <v>2014</v>
      </c>
      <c r="Z381" s="411" t="s">
        <v>996</v>
      </c>
      <c r="AD381" s="233"/>
      <c r="AE381" s="233"/>
      <c r="AF381" s="233"/>
      <c r="AG381" s="233"/>
    </row>
    <row r="382" spans="2:33" s="213" customFormat="1" ht="48" customHeight="1" x14ac:dyDescent="0.25">
      <c r="B382" s="379" t="s">
        <v>1305</v>
      </c>
      <c r="C382" s="355" t="s">
        <v>2</v>
      </c>
      <c r="D382" s="279" t="s">
        <v>454</v>
      </c>
      <c r="E382" s="279" t="s">
        <v>1307</v>
      </c>
      <c r="F382" s="279" t="s">
        <v>1307</v>
      </c>
      <c r="G382" s="279" t="s">
        <v>1308</v>
      </c>
      <c r="H382" s="276" t="s">
        <v>95</v>
      </c>
      <c r="I382" s="276">
        <v>0</v>
      </c>
      <c r="J382" s="276" t="s">
        <v>502</v>
      </c>
      <c r="K382" s="283" t="s">
        <v>1148</v>
      </c>
      <c r="L382" s="384"/>
      <c r="M382" s="406" t="s">
        <v>1132</v>
      </c>
      <c r="N382" s="384"/>
      <c r="O382" s="384"/>
      <c r="P382" s="409">
        <v>1347500</v>
      </c>
      <c r="Q382" s="409">
        <v>4410000</v>
      </c>
      <c r="R382" s="384"/>
      <c r="S382" s="384"/>
      <c r="T382" s="384"/>
      <c r="U382" s="384"/>
      <c r="V382" s="410">
        <v>5757500</v>
      </c>
      <c r="W382" s="317">
        <f t="shared" si="42"/>
        <v>6448400.0000000009</v>
      </c>
      <c r="X382" s="231"/>
      <c r="Y382" s="294">
        <v>2014</v>
      </c>
      <c r="Z382" s="408"/>
      <c r="AD382" s="233"/>
      <c r="AE382" s="233"/>
      <c r="AF382" s="233"/>
      <c r="AG382" s="233"/>
    </row>
    <row r="383" spans="2:33" s="213" customFormat="1" ht="48" customHeight="1" x14ac:dyDescent="0.25">
      <c r="B383" s="160" t="s">
        <v>1306</v>
      </c>
      <c r="C383" s="355" t="s">
        <v>2</v>
      </c>
      <c r="D383" s="279" t="s">
        <v>454</v>
      </c>
      <c r="E383" s="279" t="s">
        <v>1307</v>
      </c>
      <c r="F383" s="279" t="s">
        <v>1307</v>
      </c>
      <c r="G383" s="279" t="s">
        <v>1309</v>
      </c>
      <c r="H383" s="276" t="s">
        <v>95</v>
      </c>
      <c r="I383" s="276">
        <v>0</v>
      </c>
      <c r="J383" s="276" t="s">
        <v>502</v>
      </c>
      <c r="K383" s="283" t="s">
        <v>1148</v>
      </c>
      <c r="L383" s="384"/>
      <c r="M383" s="406" t="s">
        <v>1132</v>
      </c>
      <c r="N383" s="384"/>
      <c r="O383" s="384"/>
      <c r="P383" s="409">
        <v>675000</v>
      </c>
      <c r="Q383" s="409">
        <v>3591000</v>
      </c>
      <c r="R383" s="384"/>
      <c r="S383" s="384"/>
      <c r="T383" s="384"/>
      <c r="U383" s="384"/>
      <c r="V383" s="358">
        <v>4266000</v>
      </c>
      <c r="W383" s="302">
        <f t="shared" si="42"/>
        <v>4777920</v>
      </c>
      <c r="X383" s="231"/>
      <c r="Y383" s="135">
        <v>2014</v>
      </c>
      <c r="Z383" s="408"/>
      <c r="AD383" s="233"/>
      <c r="AE383" s="233"/>
      <c r="AF383" s="233"/>
      <c r="AG383" s="233"/>
    </row>
    <row r="384" spans="2:33" s="213" customFormat="1" ht="48" customHeight="1" x14ac:dyDescent="0.25">
      <c r="B384" s="160" t="s">
        <v>1312</v>
      </c>
      <c r="C384" s="355" t="s">
        <v>2</v>
      </c>
      <c r="D384" s="412" t="s">
        <v>1323</v>
      </c>
      <c r="E384" s="412" t="s">
        <v>1324</v>
      </c>
      <c r="F384" s="412" t="s">
        <v>1325</v>
      </c>
      <c r="G384" s="412" t="s">
        <v>1326</v>
      </c>
      <c r="H384" s="276" t="s">
        <v>95</v>
      </c>
      <c r="I384" s="276">
        <v>0</v>
      </c>
      <c r="J384" s="276" t="s">
        <v>1327</v>
      </c>
      <c r="K384" s="283" t="s">
        <v>1328</v>
      </c>
      <c r="L384" s="384"/>
      <c r="M384" s="406" t="s">
        <v>1132</v>
      </c>
      <c r="N384" s="384"/>
      <c r="O384" s="384"/>
      <c r="P384" s="409">
        <v>138050</v>
      </c>
      <c r="Q384" s="409">
        <v>150600</v>
      </c>
      <c r="R384" s="384"/>
      <c r="S384" s="384"/>
      <c r="T384" s="384"/>
      <c r="U384" s="384"/>
      <c r="V384" s="358">
        <v>288650</v>
      </c>
      <c r="W384" s="302">
        <f t="shared" si="42"/>
        <v>323288.00000000006</v>
      </c>
      <c r="X384" s="231"/>
      <c r="Y384" s="135">
        <v>2013</v>
      </c>
      <c r="Z384" s="408"/>
      <c r="AD384" s="233"/>
      <c r="AE384" s="233"/>
      <c r="AF384" s="233"/>
      <c r="AG384" s="233"/>
    </row>
    <row r="385" spans="2:33" s="213" customFormat="1" ht="48" customHeight="1" x14ac:dyDescent="0.25">
      <c r="B385" s="413" t="s">
        <v>1313</v>
      </c>
      <c r="C385" s="355" t="s">
        <v>2</v>
      </c>
      <c r="D385" s="283" t="s">
        <v>295</v>
      </c>
      <c r="E385" s="283" t="s">
        <v>296</v>
      </c>
      <c r="F385" s="283" t="s">
        <v>296</v>
      </c>
      <c r="G385" s="283" t="s">
        <v>1329</v>
      </c>
      <c r="H385" s="214" t="s">
        <v>95</v>
      </c>
      <c r="I385" s="214">
        <v>0</v>
      </c>
      <c r="J385" s="283" t="s">
        <v>1024</v>
      </c>
      <c r="K385" s="283" t="s">
        <v>1330</v>
      </c>
      <c r="L385" s="283"/>
      <c r="M385" s="283" t="s">
        <v>1132</v>
      </c>
      <c r="N385" s="283" t="s">
        <v>1331</v>
      </c>
      <c r="O385" s="409">
        <v>53599968</v>
      </c>
      <c r="P385" s="409">
        <v>53599968</v>
      </c>
      <c r="Q385" s="409">
        <v>53599968</v>
      </c>
      <c r="R385" s="409">
        <v>53599968</v>
      </c>
      <c r="S385" s="214"/>
      <c r="T385" s="214"/>
      <c r="U385" s="214"/>
      <c r="V385" s="409">
        <f>O385+P385+Q385+R385+S385+T385</f>
        <v>214399872</v>
      </c>
      <c r="W385" s="302">
        <f t="shared" si="42"/>
        <v>240127856.64000002</v>
      </c>
      <c r="X385" s="231"/>
      <c r="Y385" s="135">
        <v>2012</v>
      </c>
      <c r="Z385" s="408"/>
      <c r="AD385" s="233"/>
      <c r="AE385" s="233"/>
      <c r="AF385" s="233"/>
      <c r="AG385" s="233"/>
    </row>
    <row r="386" spans="2:33" s="213" customFormat="1" ht="48" customHeight="1" x14ac:dyDescent="0.25">
      <c r="B386" s="379" t="s">
        <v>1314</v>
      </c>
      <c r="C386" s="355" t="s">
        <v>2</v>
      </c>
      <c r="D386" s="283" t="s">
        <v>389</v>
      </c>
      <c r="E386" s="283" t="s">
        <v>384</v>
      </c>
      <c r="F386" s="283" t="s">
        <v>384</v>
      </c>
      <c r="G386" s="283" t="s">
        <v>1332</v>
      </c>
      <c r="H386" s="214" t="s">
        <v>95</v>
      </c>
      <c r="I386" s="214">
        <v>0</v>
      </c>
      <c r="J386" s="214" t="s">
        <v>1015</v>
      </c>
      <c r="K386" s="283" t="s">
        <v>1333</v>
      </c>
      <c r="L386" s="214"/>
      <c r="M386" s="283" t="s">
        <v>1132</v>
      </c>
      <c r="N386" s="283" t="s">
        <v>1331</v>
      </c>
      <c r="O386" s="409">
        <v>9395491.0361666661</v>
      </c>
      <c r="P386" s="409">
        <v>9395491.0361666661</v>
      </c>
      <c r="Q386" s="409">
        <v>9395491.0361666661</v>
      </c>
      <c r="R386" s="409"/>
      <c r="S386" s="214"/>
      <c r="T386" s="214"/>
      <c r="U386" s="214"/>
      <c r="V386" s="409">
        <f t="shared" ref="V386:V394" si="44">O386+P386+Q386+R386+S386+T386</f>
        <v>28186473.108499996</v>
      </c>
      <c r="W386" s="302">
        <f t="shared" si="42"/>
        <v>31568849.881519999</v>
      </c>
      <c r="X386" s="231"/>
      <c r="Y386" s="135">
        <v>2012</v>
      </c>
      <c r="Z386" s="408"/>
      <c r="AD386" s="233"/>
      <c r="AE386" s="233"/>
      <c r="AF386" s="233"/>
      <c r="AG386" s="233"/>
    </row>
    <row r="387" spans="2:33" s="213" customFormat="1" ht="48" customHeight="1" x14ac:dyDescent="0.25">
      <c r="B387" s="379" t="s">
        <v>1315</v>
      </c>
      <c r="C387" s="355" t="s">
        <v>2</v>
      </c>
      <c r="D387" s="283" t="s">
        <v>295</v>
      </c>
      <c r="E387" s="283" t="s">
        <v>296</v>
      </c>
      <c r="F387" s="283" t="s">
        <v>296</v>
      </c>
      <c r="G387" s="283" t="s">
        <v>1334</v>
      </c>
      <c r="H387" s="214" t="s">
        <v>95</v>
      </c>
      <c r="I387" s="214">
        <v>100</v>
      </c>
      <c r="J387" s="283" t="s">
        <v>1025</v>
      </c>
      <c r="K387" s="283" t="s">
        <v>1335</v>
      </c>
      <c r="L387" s="283"/>
      <c r="M387" s="283" t="s">
        <v>1132</v>
      </c>
      <c r="N387" s="283" t="s">
        <v>1331</v>
      </c>
      <c r="O387" s="409">
        <v>295189545.41999996</v>
      </c>
      <c r="P387" s="409">
        <v>295189545.41999996</v>
      </c>
      <c r="Q387" s="409"/>
      <c r="R387" s="409"/>
      <c r="S387" s="214"/>
      <c r="T387" s="214"/>
      <c r="U387" s="214"/>
      <c r="V387" s="409">
        <f t="shared" si="44"/>
        <v>590379090.83999991</v>
      </c>
      <c r="W387" s="302">
        <f t="shared" si="42"/>
        <v>661224581.74080002</v>
      </c>
      <c r="X387" s="231"/>
      <c r="Y387" s="135">
        <v>2012</v>
      </c>
      <c r="Z387" s="408"/>
      <c r="AD387" s="233"/>
      <c r="AE387" s="233"/>
      <c r="AF387" s="233"/>
      <c r="AG387" s="233"/>
    </row>
    <row r="388" spans="2:33" s="213" customFormat="1" ht="48" customHeight="1" x14ac:dyDescent="0.25">
      <c r="B388" s="379" t="s">
        <v>1316</v>
      </c>
      <c r="C388" s="355" t="s">
        <v>2</v>
      </c>
      <c r="D388" s="283" t="s">
        <v>412</v>
      </c>
      <c r="E388" s="283" t="s">
        <v>413</v>
      </c>
      <c r="F388" s="283" t="s">
        <v>413</v>
      </c>
      <c r="G388" s="394" t="s">
        <v>1336</v>
      </c>
      <c r="H388" s="214" t="s">
        <v>95</v>
      </c>
      <c r="I388" s="214">
        <v>0</v>
      </c>
      <c r="J388" s="283" t="s">
        <v>1047</v>
      </c>
      <c r="K388" s="283" t="s">
        <v>1337</v>
      </c>
      <c r="L388" s="283"/>
      <c r="M388" s="283" t="s">
        <v>1132</v>
      </c>
      <c r="N388" s="283" t="s">
        <v>1331</v>
      </c>
      <c r="O388" s="409">
        <v>18233104.640625</v>
      </c>
      <c r="P388" s="409">
        <v>18233104.640625</v>
      </c>
      <c r="Q388" s="409">
        <v>18233104.640625</v>
      </c>
      <c r="R388" s="409"/>
      <c r="S388" s="214"/>
      <c r="T388" s="214"/>
      <c r="U388" s="214"/>
      <c r="V388" s="409">
        <f t="shared" si="44"/>
        <v>54699313.921875</v>
      </c>
      <c r="W388" s="302">
        <f t="shared" si="42"/>
        <v>61263231.592500009</v>
      </c>
      <c r="X388" s="231"/>
      <c r="Y388" s="135">
        <v>2012</v>
      </c>
      <c r="Z388" s="408"/>
      <c r="AD388" s="233"/>
      <c r="AE388" s="233"/>
      <c r="AF388" s="233"/>
      <c r="AG388" s="233"/>
    </row>
    <row r="389" spans="2:33" s="213" customFormat="1" ht="48" customHeight="1" x14ac:dyDescent="0.25">
      <c r="B389" s="379" t="s">
        <v>1317</v>
      </c>
      <c r="C389" s="355" t="s">
        <v>2</v>
      </c>
      <c r="D389" s="283" t="s">
        <v>445</v>
      </c>
      <c r="E389" s="283" t="s">
        <v>446</v>
      </c>
      <c r="F389" s="283" t="s">
        <v>447</v>
      </c>
      <c r="G389" s="283" t="s">
        <v>1338</v>
      </c>
      <c r="H389" s="214" t="s">
        <v>95</v>
      </c>
      <c r="I389" s="214">
        <v>0</v>
      </c>
      <c r="J389" s="283" t="s">
        <v>1017</v>
      </c>
      <c r="K389" s="283" t="s">
        <v>1333</v>
      </c>
      <c r="L389" s="283"/>
      <c r="M389" s="283" t="s">
        <v>1132</v>
      </c>
      <c r="N389" s="283" t="s">
        <v>1331</v>
      </c>
      <c r="O389" s="409">
        <v>3386250</v>
      </c>
      <c r="P389" s="409">
        <v>3386250</v>
      </c>
      <c r="Q389" s="409">
        <v>3386250</v>
      </c>
      <c r="R389" s="409"/>
      <c r="S389" s="214"/>
      <c r="T389" s="214"/>
      <c r="U389" s="214"/>
      <c r="V389" s="409">
        <f t="shared" si="44"/>
        <v>10158750</v>
      </c>
      <c r="W389" s="302">
        <f t="shared" si="42"/>
        <v>11377800.000000002</v>
      </c>
      <c r="X389" s="231"/>
      <c r="Y389" s="135">
        <v>2012</v>
      </c>
      <c r="Z389" s="408"/>
      <c r="AD389" s="233"/>
      <c r="AE389" s="233"/>
      <c r="AF389" s="233"/>
      <c r="AG389" s="233"/>
    </row>
    <row r="390" spans="2:33" s="213" customFormat="1" ht="48" customHeight="1" x14ac:dyDescent="0.25">
      <c r="B390" s="379" t="s">
        <v>1318</v>
      </c>
      <c r="C390" s="355" t="s">
        <v>2</v>
      </c>
      <c r="D390" s="283" t="s">
        <v>295</v>
      </c>
      <c r="E390" s="283" t="s">
        <v>296</v>
      </c>
      <c r="F390" s="283" t="s">
        <v>296</v>
      </c>
      <c r="G390" s="283" t="s">
        <v>1339</v>
      </c>
      <c r="H390" s="214" t="s">
        <v>95</v>
      </c>
      <c r="I390" s="214">
        <v>0</v>
      </c>
      <c r="J390" s="283" t="s">
        <v>1025</v>
      </c>
      <c r="K390" s="283" t="s">
        <v>1333</v>
      </c>
      <c r="L390" s="283"/>
      <c r="M390" s="283" t="s">
        <v>1132</v>
      </c>
      <c r="N390" s="283" t="s">
        <v>1331</v>
      </c>
      <c r="O390" s="409">
        <v>42408333.333333336</v>
      </c>
      <c r="P390" s="409">
        <v>42408333.333333336</v>
      </c>
      <c r="Q390" s="409">
        <v>42408333.333333336</v>
      </c>
      <c r="R390" s="409"/>
      <c r="S390" s="214"/>
      <c r="T390" s="214"/>
      <c r="U390" s="214"/>
      <c r="V390" s="409">
        <f t="shared" si="44"/>
        <v>127225000</v>
      </c>
      <c r="W390" s="302">
        <f t="shared" si="42"/>
        <v>142492000</v>
      </c>
      <c r="X390" s="231"/>
      <c r="Y390" s="135">
        <v>2012</v>
      </c>
      <c r="Z390" s="408"/>
      <c r="AD390" s="233"/>
      <c r="AE390" s="233"/>
      <c r="AF390" s="233"/>
      <c r="AG390" s="233"/>
    </row>
    <row r="391" spans="2:33" s="213" customFormat="1" ht="48" customHeight="1" x14ac:dyDescent="0.25">
      <c r="B391" s="379" t="s">
        <v>1319</v>
      </c>
      <c r="C391" s="355" t="s">
        <v>2</v>
      </c>
      <c r="D391" s="283" t="s">
        <v>979</v>
      </c>
      <c r="E391" s="283" t="s">
        <v>980</v>
      </c>
      <c r="F391" s="283" t="s">
        <v>981</v>
      </c>
      <c r="G391" s="283" t="s">
        <v>1340</v>
      </c>
      <c r="H391" s="214" t="s">
        <v>95</v>
      </c>
      <c r="I391" s="214">
        <v>0</v>
      </c>
      <c r="J391" s="283" t="s">
        <v>1017</v>
      </c>
      <c r="K391" s="283" t="s">
        <v>1337</v>
      </c>
      <c r="L391" s="283"/>
      <c r="M391" s="283" t="s">
        <v>1132</v>
      </c>
      <c r="N391" s="283" t="s">
        <v>1331</v>
      </c>
      <c r="O391" s="409">
        <v>73482211.833333328</v>
      </c>
      <c r="P391" s="409">
        <v>73482211.833333328</v>
      </c>
      <c r="Q391" s="409">
        <v>73482211.833333328</v>
      </c>
      <c r="R391" s="409"/>
      <c r="S391" s="214"/>
      <c r="T391" s="214"/>
      <c r="U391" s="214"/>
      <c r="V391" s="409">
        <f t="shared" si="44"/>
        <v>220446635.5</v>
      </c>
      <c r="W391" s="302">
        <f t="shared" si="42"/>
        <v>246900231.76000002</v>
      </c>
      <c r="X391" s="231"/>
      <c r="Y391" s="135">
        <v>2012</v>
      </c>
      <c r="Z391" s="408"/>
      <c r="AD391" s="233"/>
      <c r="AE391" s="233"/>
      <c r="AF391" s="233"/>
      <c r="AG391" s="233"/>
    </row>
    <row r="392" spans="2:33" s="213" customFormat="1" ht="48" customHeight="1" x14ac:dyDescent="0.25">
      <c r="B392" s="379" t="s">
        <v>1320</v>
      </c>
      <c r="C392" s="355" t="s">
        <v>2</v>
      </c>
      <c r="D392" s="283" t="s">
        <v>412</v>
      </c>
      <c r="E392" s="283" t="s">
        <v>413</v>
      </c>
      <c r="F392" s="283" t="s">
        <v>413</v>
      </c>
      <c r="G392" s="394" t="s">
        <v>1341</v>
      </c>
      <c r="H392" s="214" t="s">
        <v>95</v>
      </c>
      <c r="I392" s="214">
        <v>0</v>
      </c>
      <c r="J392" s="283" t="s">
        <v>1026</v>
      </c>
      <c r="K392" s="283" t="s">
        <v>1342</v>
      </c>
      <c r="L392" s="283"/>
      <c r="M392" s="283" t="s">
        <v>1132</v>
      </c>
      <c r="N392" s="283" t="s">
        <v>1331</v>
      </c>
      <c r="O392" s="409">
        <v>2780729.1666666665</v>
      </c>
      <c r="P392" s="409">
        <v>2780729.1666666665</v>
      </c>
      <c r="Q392" s="409"/>
      <c r="R392" s="409"/>
      <c r="S392" s="214"/>
      <c r="T392" s="214"/>
      <c r="U392" s="214"/>
      <c r="V392" s="409">
        <f t="shared" si="44"/>
        <v>5561458.333333333</v>
      </c>
      <c r="W392" s="302">
        <f t="shared" si="42"/>
        <v>6228833.333333334</v>
      </c>
      <c r="X392" s="231"/>
      <c r="Y392" s="135">
        <v>2012</v>
      </c>
      <c r="Z392" s="408"/>
      <c r="AD392" s="233"/>
      <c r="AE392" s="233"/>
      <c r="AF392" s="233"/>
      <c r="AG392" s="233"/>
    </row>
    <row r="393" spans="2:33" s="213" customFormat="1" ht="48" customHeight="1" x14ac:dyDescent="0.25">
      <c r="B393" s="379" t="s">
        <v>1321</v>
      </c>
      <c r="C393" s="355" t="s">
        <v>2</v>
      </c>
      <c r="D393" s="283" t="s">
        <v>295</v>
      </c>
      <c r="E393" s="283" t="s">
        <v>296</v>
      </c>
      <c r="F393" s="283" t="s">
        <v>296</v>
      </c>
      <c r="G393" s="283" t="s">
        <v>1343</v>
      </c>
      <c r="H393" s="214" t="s">
        <v>95</v>
      </c>
      <c r="I393" s="214">
        <v>0</v>
      </c>
      <c r="J393" s="283" t="s">
        <v>505</v>
      </c>
      <c r="K393" s="283" t="s">
        <v>1344</v>
      </c>
      <c r="L393" s="283"/>
      <c r="M393" s="283" t="s">
        <v>1132</v>
      </c>
      <c r="N393" s="283" t="s">
        <v>1331</v>
      </c>
      <c r="O393" s="409">
        <v>32750000</v>
      </c>
      <c r="P393" s="409">
        <v>32750000</v>
      </c>
      <c r="Q393" s="409">
        <v>32750000</v>
      </c>
      <c r="R393" s="409"/>
      <c r="S393" s="214"/>
      <c r="T393" s="214"/>
      <c r="U393" s="214"/>
      <c r="V393" s="409">
        <f t="shared" si="44"/>
        <v>98250000</v>
      </c>
      <c r="W393" s="302">
        <f t="shared" si="42"/>
        <v>110040000.00000001</v>
      </c>
      <c r="X393" s="231"/>
      <c r="Y393" s="135">
        <v>2012</v>
      </c>
      <c r="Z393" s="408"/>
      <c r="AD393" s="233"/>
      <c r="AE393" s="233"/>
      <c r="AF393" s="233"/>
      <c r="AG393" s="233"/>
    </row>
    <row r="394" spans="2:33" s="213" customFormat="1" ht="48" customHeight="1" x14ac:dyDescent="0.25">
      <c r="B394" s="379" t="s">
        <v>1322</v>
      </c>
      <c r="C394" s="355" t="s">
        <v>2</v>
      </c>
      <c r="D394" s="283" t="s">
        <v>445</v>
      </c>
      <c r="E394" s="283" t="s">
        <v>446</v>
      </c>
      <c r="F394" s="283" t="s">
        <v>447</v>
      </c>
      <c r="G394" s="283" t="s">
        <v>1345</v>
      </c>
      <c r="H394" s="214" t="s">
        <v>95</v>
      </c>
      <c r="I394" s="214">
        <v>0</v>
      </c>
      <c r="J394" s="283" t="s">
        <v>1047</v>
      </c>
      <c r="K394" s="283" t="s">
        <v>1337</v>
      </c>
      <c r="L394" s="283"/>
      <c r="M394" s="283" t="s">
        <v>1132</v>
      </c>
      <c r="N394" s="283" t="s">
        <v>1331</v>
      </c>
      <c r="O394" s="409">
        <v>12350986.257224999</v>
      </c>
      <c r="P394" s="409">
        <v>12350986.257224999</v>
      </c>
      <c r="Q394" s="409">
        <v>12350986.257224999</v>
      </c>
      <c r="R394" s="409"/>
      <c r="S394" s="214"/>
      <c r="T394" s="214"/>
      <c r="U394" s="214"/>
      <c r="V394" s="409">
        <f t="shared" si="44"/>
        <v>37052958.771674998</v>
      </c>
      <c r="W394" s="302">
        <f t="shared" si="42"/>
        <v>41499313.824276</v>
      </c>
      <c r="X394" s="231"/>
      <c r="Y394" s="135">
        <v>2012</v>
      </c>
      <c r="Z394" s="408"/>
      <c r="AD394" s="233"/>
      <c r="AE394" s="233"/>
      <c r="AF394" s="233"/>
      <c r="AG394" s="233"/>
    </row>
    <row r="395" spans="2:33" s="213" customFormat="1" ht="48" customHeight="1" x14ac:dyDescent="0.25">
      <c r="B395" s="379" t="s">
        <v>1346</v>
      </c>
      <c r="C395" s="355" t="s">
        <v>2</v>
      </c>
      <c r="D395" s="319" t="s">
        <v>533</v>
      </c>
      <c r="E395" s="319" t="s">
        <v>534</v>
      </c>
      <c r="F395" s="319" t="s">
        <v>984</v>
      </c>
      <c r="G395" s="319" t="s">
        <v>1097</v>
      </c>
      <c r="H395" s="214" t="s">
        <v>95</v>
      </c>
      <c r="I395" s="214">
        <v>0</v>
      </c>
      <c r="J395" s="283" t="s">
        <v>502</v>
      </c>
      <c r="K395" s="275" t="s">
        <v>1098</v>
      </c>
      <c r="L395" s="283"/>
      <c r="M395" s="283" t="s">
        <v>1132</v>
      </c>
      <c r="N395" s="283" t="s">
        <v>1331</v>
      </c>
      <c r="O395" s="409"/>
      <c r="P395" s="409">
        <v>18812</v>
      </c>
      <c r="Q395" s="409">
        <v>75288</v>
      </c>
      <c r="R395" s="409"/>
      <c r="S395" s="214"/>
      <c r="T395" s="214"/>
      <c r="U395" s="214"/>
      <c r="V395" s="409">
        <v>94100</v>
      </c>
      <c r="W395" s="302">
        <f t="shared" si="42"/>
        <v>105392.00000000001</v>
      </c>
      <c r="X395" s="231"/>
      <c r="Y395" s="135">
        <v>2014</v>
      </c>
      <c r="Z395" s="408" t="s">
        <v>756</v>
      </c>
      <c r="AD395" s="233"/>
      <c r="AE395" s="233"/>
      <c r="AF395" s="233"/>
      <c r="AG395" s="233"/>
    </row>
    <row r="396" spans="2:33" s="213" customFormat="1" ht="48" customHeight="1" x14ac:dyDescent="0.25">
      <c r="B396" s="379" t="s">
        <v>1348</v>
      </c>
      <c r="C396" s="355" t="s">
        <v>2</v>
      </c>
      <c r="D396" s="319" t="s">
        <v>1239</v>
      </c>
      <c r="E396" s="319" t="s">
        <v>1080</v>
      </c>
      <c r="F396" s="319" t="s">
        <v>1240</v>
      </c>
      <c r="G396" s="319" t="s">
        <v>1350</v>
      </c>
      <c r="H396" s="214" t="s">
        <v>95</v>
      </c>
      <c r="I396" s="214">
        <v>0</v>
      </c>
      <c r="J396" s="283" t="s">
        <v>1327</v>
      </c>
      <c r="K396" s="319" t="s">
        <v>469</v>
      </c>
      <c r="L396" s="283"/>
      <c r="M396" s="319" t="s">
        <v>1352</v>
      </c>
      <c r="N396" s="283" t="s">
        <v>1331</v>
      </c>
      <c r="O396" s="409"/>
      <c r="P396" s="351">
        <f>30000*10</f>
        <v>300000</v>
      </c>
      <c r="Q396" s="351">
        <f>30000*12</f>
        <v>360000</v>
      </c>
      <c r="R396" s="409"/>
      <c r="S396" s="214"/>
      <c r="T396" s="214"/>
      <c r="U396" s="214"/>
      <c r="V396" s="409">
        <v>660000</v>
      </c>
      <c r="W396" s="302">
        <f t="shared" si="42"/>
        <v>739200.00000000012</v>
      </c>
      <c r="X396" s="231"/>
      <c r="Y396" s="135">
        <v>2014</v>
      </c>
      <c r="Z396" s="408"/>
      <c r="AD396" s="233"/>
      <c r="AE396" s="233"/>
      <c r="AF396" s="233"/>
      <c r="AG396" s="233"/>
    </row>
    <row r="397" spans="2:33" s="213" customFormat="1" ht="48" customHeight="1" x14ac:dyDescent="0.25">
      <c r="B397" s="379" t="s">
        <v>1349</v>
      </c>
      <c r="C397" s="355" t="s">
        <v>2</v>
      </c>
      <c r="D397" s="319" t="s">
        <v>533</v>
      </c>
      <c r="E397" s="319" t="s">
        <v>534</v>
      </c>
      <c r="F397" s="319" t="s">
        <v>984</v>
      </c>
      <c r="G397" s="319" t="s">
        <v>1351</v>
      </c>
      <c r="H397" s="214" t="s">
        <v>95</v>
      </c>
      <c r="I397" s="214">
        <v>0</v>
      </c>
      <c r="J397" s="283" t="s">
        <v>1327</v>
      </c>
      <c r="K397" s="415" t="s">
        <v>469</v>
      </c>
      <c r="L397" s="283"/>
      <c r="M397" s="415" t="s">
        <v>1352</v>
      </c>
      <c r="N397" s="283" t="s">
        <v>1331</v>
      </c>
      <c r="O397" s="409"/>
      <c r="P397" s="351">
        <f>1900.86*10</f>
        <v>19008.599999999999</v>
      </c>
      <c r="Q397" s="351">
        <f>1900.86*12</f>
        <v>22810.32</v>
      </c>
      <c r="R397" s="409"/>
      <c r="S397" s="214"/>
      <c r="T397" s="214"/>
      <c r="U397" s="214"/>
      <c r="V397" s="409">
        <f>P397+Q397</f>
        <v>41818.92</v>
      </c>
      <c r="W397" s="302">
        <f t="shared" si="42"/>
        <v>46837.190399999999</v>
      </c>
      <c r="X397" s="231"/>
      <c r="Y397" s="135">
        <v>2014</v>
      </c>
      <c r="Z397" s="408"/>
      <c r="AD397" s="233"/>
      <c r="AE397" s="233"/>
      <c r="AF397" s="233"/>
      <c r="AG397" s="233"/>
    </row>
    <row r="398" spans="2:33" s="213" customFormat="1" ht="48" customHeight="1" x14ac:dyDescent="0.25">
      <c r="B398" s="379" t="s">
        <v>1355</v>
      </c>
      <c r="C398" s="355" t="s">
        <v>2</v>
      </c>
      <c r="D398" s="319" t="s">
        <v>744</v>
      </c>
      <c r="E398" s="319" t="s">
        <v>745</v>
      </c>
      <c r="F398" s="319" t="s">
        <v>745</v>
      </c>
      <c r="G398" s="319" t="s">
        <v>1357</v>
      </c>
      <c r="H398" s="214" t="s">
        <v>95</v>
      </c>
      <c r="I398" s="214">
        <v>0</v>
      </c>
      <c r="J398" s="283" t="s">
        <v>502</v>
      </c>
      <c r="K398" s="275" t="s">
        <v>630</v>
      </c>
      <c r="L398" s="283"/>
      <c r="M398" s="319" t="s">
        <v>1352</v>
      </c>
      <c r="N398" s="283" t="s">
        <v>1331</v>
      </c>
      <c r="O398" s="409"/>
      <c r="P398" s="351"/>
      <c r="Q398" s="351">
        <v>0</v>
      </c>
      <c r="R398" s="351">
        <v>0</v>
      </c>
      <c r="S398" s="351">
        <v>0</v>
      </c>
      <c r="T398" s="351">
        <v>0</v>
      </c>
      <c r="U398" s="214"/>
      <c r="V398" s="409">
        <v>0</v>
      </c>
      <c r="W398" s="302">
        <f t="shared" si="42"/>
        <v>0</v>
      </c>
      <c r="X398" s="231"/>
      <c r="Y398" s="135">
        <v>2014</v>
      </c>
      <c r="Z398" s="408" t="s">
        <v>996</v>
      </c>
      <c r="AD398" s="233"/>
      <c r="AE398" s="233"/>
      <c r="AF398" s="233"/>
      <c r="AG398" s="233"/>
    </row>
    <row r="399" spans="2:33" s="213" customFormat="1" ht="48" customHeight="1" x14ac:dyDescent="0.25">
      <c r="B399" s="379" t="s">
        <v>1356</v>
      </c>
      <c r="C399" s="355" t="s">
        <v>2</v>
      </c>
      <c r="D399" s="319" t="s">
        <v>676</v>
      </c>
      <c r="E399" s="319" t="s">
        <v>677</v>
      </c>
      <c r="F399" s="319" t="s">
        <v>677</v>
      </c>
      <c r="G399" s="319" t="s">
        <v>1358</v>
      </c>
      <c r="H399" s="214" t="s">
        <v>3</v>
      </c>
      <c r="I399" s="214">
        <v>0</v>
      </c>
      <c r="J399" s="283" t="s">
        <v>502</v>
      </c>
      <c r="K399" s="275" t="s">
        <v>1098</v>
      </c>
      <c r="L399" s="283"/>
      <c r="M399" s="319" t="s">
        <v>743</v>
      </c>
      <c r="N399" s="283" t="s">
        <v>1331</v>
      </c>
      <c r="O399" s="409"/>
      <c r="P399" s="351">
        <v>464000</v>
      </c>
      <c r="Q399" s="351">
        <v>232000</v>
      </c>
      <c r="R399" s="351">
        <v>232000</v>
      </c>
      <c r="S399" s="351">
        <v>232000</v>
      </c>
      <c r="T399" s="351">
        <v>232000</v>
      </c>
      <c r="U399" s="214"/>
      <c r="V399" s="409">
        <v>1392000</v>
      </c>
      <c r="W399" s="302">
        <f t="shared" si="42"/>
        <v>1559040.0000000002</v>
      </c>
      <c r="X399" s="231"/>
      <c r="Y399" s="135">
        <v>2014</v>
      </c>
      <c r="Z399" s="408" t="s">
        <v>756</v>
      </c>
      <c r="AD399" s="233"/>
      <c r="AE399" s="233"/>
      <c r="AF399" s="233"/>
      <c r="AG399" s="233"/>
    </row>
    <row r="400" spans="2:33" s="213" customFormat="1" ht="48" customHeight="1" x14ac:dyDescent="0.25">
      <c r="B400" s="379" t="s">
        <v>1359</v>
      </c>
      <c r="C400" s="355" t="s">
        <v>2</v>
      </c>
      <c r="D400" s="283" t="s">
        <v>295</v>
      </c>
      <c r="E400" s="283" t="s">
        <v>296</v>
      </c>
      <c r="F400" s="283" t="s">
        <v>296</v>
      </c>
      <c r="G400" s="283" t="s">
        <v>1361</v>
      </c>
      <c r="H400" s="214" t="s">
        <v>95</v>
      </c>
      <c r="I400" s="214">
        <v>0</v>
      </c>
      <c r="J400" s="283" t="s">
        <v>502</v>
      </c>
      <c r="K400" s="275" t="s">
        <v>444</v>
      </c>
      <c r="L400" s="283"/>
      <c r="M400" s="406" t="s">
        <v>1132</v>
      </c>
      <c r="N400" s="283" t="s">
        <v>1331</v>
      </c>
      <c r="O400" s="409"/>
      <c r="P400" s="309">
        <v>20000000</v>
      </c>
      <c r="Q400" s="309">
        <v>32991100</v>
      </c>
      <c r="R400" s="351"/>
      <c r="S400" s="351"/>
      <c r="T400" s="351"/>
      <c r="U400" s="214"/>
      <c r="V400" s="409">
        <v>52991100</v>
      </c>
      <c r="W400" s="302">
        <f t="shared" si="42"/>
        <v>59350032.000000007</v>
      </c>
      <c r="X400" s="231"/>
      <c r="Y400" s="135">
        <v>2014</v>
      </c>
      <c r="Z400" s="408"/>
      <c r="AD400" s="233"/>
      <c r="AE400" s="233"/>
      <c r="AF400" s="233"/>
      <c r="AG400" s="233"/>
    </row>
    <row r="401" spans="2:33" s="213" customFormat="1" ht="48" customHeight="1" x14ac:dyDescent="0.25">
      <c r="B401" s="379" t="s">
        <v>1360</v>
      </c>
      <c r="C401" s="355" t="s">
        <v>2</v>
      </c>
      <c r="D401" s="283" t="s">
        <v>295</v>
      </c>
      <c r="E401" s="283" t="s">
        <v>296</v>
      </c>
      <c r="F401" s="283" t="s">
        <v>296</v>
      </c>
      <c r="G401" s="283" t="s">
        <v>1362</v>
      </c>
      <c r="H401" s="214" t="s">
        <v>95</v>
      </c>
      <c r="I401" s="214">
        <v>0</v>
      </c>
      <c r="J401" s="283" t="s">
        <v>502</v>
      </c>
      <c r="K401" s="275" t="s">
        <v>630</v>
      </c>
      <c r="L401" s="283"/>
      <c r="M401" s="406" t="s">
        <v>1132</v>
      </c>
      <c r="N401" s="283" t="s">
        <v>1331</v>
      </c>
      <c r="O401" s="409"/>
      <c r="P401" s="309">
        <v>69841666.666666672</v>
      </c>
      <c r="Q401" s="309">
        <v>174604166.66666666</v>
      </c>
      <c r="R401" s="309">
        <v>174604166.66666666</v>
      </c>
      <c r="S401" s="351"/>
      <c r="T401" s="351"/>
      <c r="U401" s="214"/>
      <c r="V401" s="409">
        <v>419050000</v>
      </c>
      <c r="W401" s="302">
        <f t="shared" si="42"/>
        <v>469336000.00000006</v>
      </c>
      <c r="X401" s="231"/>
      <c r="Y401" s="135">
        <v>2014</v>
      </c>
      <c r="Z401" s="408"/>
      <c r="AD401" s="233"/>
      <c r="AE401" s="233"/>
      <c r="AF401" s="233"/>
      <c r="AG401" s="233"/>
    </row>
    <row r="402" spans="2:33" s="213" customFormat="1" ht="48" customHeight="1" x14ac:dyDescent="0.25">
      <c r="B402" s="379" t="s">
        <v>1363</v>
      </c>
      <c r="C402" s="355" t="s">
        <v>2</v>
      </c>
      <c r="D402" s="369" t="s">
        <v>1364</v>
      </c>
      <c r="E402" s="369" t="s">
        <v>1365</v>
      </c>
      <c r="F402" s="369" t="s">
        <v>1366</v>
      </c>
      <c r="G402" s="369" t="s">
        <v>1367</v>
      </c>
      <c r="H402" s="214" t="s">
        <v>95</v>
      </c>
      <c r="I402" s="214">
        <v>0</v>
      </c>
      <c r="J402" s="283" t="s">
        <v>502</v>
      </c>
      <c r="K402" s="275" t="s">
        <v>1368</v>
      </c>
      <c r="L402" s="283"/>
      <c r="M402" s="406" t="s">
        <v>1132</v>
      </c>
      <c r="N402" s="283" t="s">
        <v>1331</v>
      </c>
      <c r="O402" s="409"/>
      <c r="P402" s="309">
        <v>80000</v>
      </c>
      <c r="Q402" s="309">
        <v>120000</v>
      </c>
      <c r="R402" s="309"/>
      <c r="S402" s="351"/>
      <c r="T402" s="351"/>
      <c r="U402" s="214"/>
      <c r="V402" s="409">
        <v>200000</v>
      </c>
      <c r="W402" s="302">
        <f t="shared" ref="W402" si="45">V402*1.12</f>
        <v>224000.00000000003</v>
      </c>
      <c r="X402" s="231"/>
      <c r="Y402" s="135">
        <v>2014</v>
      </c>
      <c r="Z402" s="408"/>
      <c r="AD402" s="233"/>
      <c r="AE402" s="233"/>
      <c r="AF402" s="233"/>
      <c r="AG402" s="233"/>
    </row>
    <row r="403" spans="2:33" s="213" customFormat="1" ht="48" customHeight="1" x14ac:dyDescent="0.25">
      <c r="B403" s="379" t="s">
        <v>1369</v>
      </c>
      <c r="C403" s="355" t="s">
        <v>2</v>
      </c>
      <c r="D403" s="82" t="s">
        <v>979</v>
      </c>
      <c r="E403" s="82" t="s">
        <v>980</v>
      </c>
      <c r="F403" s="82" t="s">
        <v>981</v>
      </c>
      <c r="G403" s="82" t="s">
        <v>1371</v>
      </c>
      <c r="H403" s="214" t="s">
        <v>95</v>
      </c>
      <c r="I403" s="214">
        <v>0</v>
      </c>
      <c r="J403" s="283" t="s">
        <v>502</v>
      </c>
      <c r="K403" s="275" t="s">
        <v>1368</v>
      </c>
      <c r="L403" s="283"/>
      <c r="M403" s="406" t="s">
        <v>1132</v>
      </c>
      <c r="N403" s="283" t="s">
        <v>1331</v>
      </c>
      <c r="O403" s="409"/>
      <c r="P403" s="309">
        <v>320000</v>
      </c>
      <c r="Q403" s="309">
        <v>1680000</v>
      </c>
      <c r="R403" s="309"/>
      <c r="S403" s="351"/>
      <c r="T403" s="351"/>
      <c r="U403" s="214"/>
      <c r="V403" s="409">
        <v>2000000</v>
      </c>
      <c r="W403" s="302">
        <f t="shared" ref="W403" si="46">V403*1.12</f>
        <v>2240000</v>
      </c>
      <c r="X403" s="231"/>
      <c r="Y403" s="135">
        <v>2014</v>
      </c>
      <c r="Z403" s="408"/>
      <c r="AD403" s="233"/>
      <c r="AE403" s="233"/>
      <c r="AF403" s="233"/>
      <c r="AG403" s="233"/>
    </row>
    <row r="404" spans="2:33" s="213" customFormat="1" ht="48" customHeight="1" x14ac:dyDescent="0.25">
      <c r="B404" s="379" t="s">
        <v>1370</v>
      </c>
      <c r="C404" s="355" t="s">
        <v>2</v>
      </c>
      <c r="D404" s="109" t="s">
        <v>295</v>
      </c>
      <c r="E404" s="109" t="s">
        <v>296</v>
      </c>
      <c r="F404" s="109" t="s">
        <v>296</v>
      </c>
      <c r="G404" s="109" t="s">
        <v>1372</v>
      </c>
      <c r="H404" s="214" t="s">
        <v>95</v>
      </c>
      <c r="I404" s="214">
        <v>0</v>
      </c>
      <c r="J404" s="283" t="s">
        <v>502</v>
      </c>
      <c r="K404" s="275" t="s">
        <v>1368</v>
      </c>
      <c r="L404" s="283"/>
      <c r="M404" s="406" t="s">
        <v>1132</v>
      </c>
      <c r="N404" s="283" t="s">
        <v>1331</v>
      </c>
      <c r="O404" s="409"/>
      <c r="P404" s="315">
        <v>55000</v>
      </c>
      <c r="Q404" s="315">
        <v>155000</v>
      </c>
      <c r="R404" s="315"/>
      <c r="S404" s="348"/>
      <c r="T404" s="351"/>
      <c r="U404" s="214"/>
      <c r="V404" s="409">
        <v>210000</v>
      </c>
      <c r="W404" s="302">
        <f t="shared" ref="W404" si="47">V404*1.12</f>
        <v>235200.00000000003</v>
      </c>
      <c r="X404" s="231"/>
      <c r="Y404" s="135">
        <v>2014</v>
      </c>
      <c r="Z404" s="408"/>
      <c r="AD404" s="233"/>
      <c r="AE404" s="233"/>
      <c r="AF404" s="233"/>
      <c r="AG404" s="233"/>
    </row>
    <row r="405" spans="2:33" s="213" customFormat="1" ht="48" customHeight="1" x14ac:dyDescent="0.25">
      <c r="B405" s="379" t="s">
        <v>1373</v>
      </c>
      <c r="C405" s="355" t="s">
        <v>2</v>
      </c>
      <c r="D405" s="82" t="s">
        <v>653</v>
      </c>
      <c r="E405" s="82" t="s">
        <v>654</v>
      </c>
      <c r="F405" s="82" t="s">
        <v>655</v>
      </c>
      <c r="G405" s="82" t="s">
        <v>656</v>
      </c>
      <c r="H405" s="214" t="s">
        <v>95</v>
      </c>
      <c r="I405" s="214">
        <v>0</v>
      </c>
      <c r="J405" s="283" t="s">
        <v>502</v>
      </c>
      <c r="K405" s="275" t="s">
        <v>1098</v>
      </c>
      <c r="L405" s="283"/>
      <c r="M405" s="406" t="s">
        <v>1132</v>
      </c>
      <c r="N405" s="283" t="s">
        <v>1331</v>
      </c>
      <c r="O405" s="409"/>
      <c r="P405" s="201">
        <v>597055.05000000005</v>
      </c>
      <c r="Q405" s="201">
        <v>3582330.3000000003</v>
      </c>
      <c r="R405" s="201">
        <v>3582330.3000000003</v>
      </c>
      <c r="S405" s="201">
        <v>597055.05000000005</v>
      </c>
      <c r="T405" s="351"/>
      <c r="U405" s="214"/>
      <c r="V405" s="409">
        <v>8358770.7000000002</v>
      </c>
      <c r="W405" s="302">
        <f t="shared" ref="W405:W406" si="48">V405*1.12</f>
        <v>9361823.1840000004</v>
      </c>
      <c r="X405" s="231"/>
      <c r="Y405" s="135">
        <v>2014</v>
      </c>
      <c r="Z405" s="408" t="s">
        <v>756</v>
      </c>
      <c r="AD405" s="233"/>
      <c r="AE405" s="233"/>
      <c r="AF405" s="233"/>
      <c r="AG405" s="233"/>
    </row>
    <row r="406" spans="2:33" s="213" customFormat="1" ht="48" customHeight="1" x14ac:dyDescent="0.25">
      <c r="B406" s="379" t="s">
        <v>1374</v>
      </c>
      <c r="C406" s="355" t="s">
        <v>2</v>
      </c>
      <c r="D406" s="109" t="s">
        <v>396</v>
      </c>
      <c r="E406" s="109" t="s">
        <v>397</v>
      </c>
      <c r="F406" s="109" t="s">
        <v>397</v>
      </c>
      <c r="G406" s="183" t="s">
        <v>1376</v>
      </c>
      <c r="H406" s="214" t="s">
        <v>95</v>
      </c>
      <c r="I406" s="214">
        <v>0</v>
      </c>
      <c r="J406" s="283" t="s">
        <v>1020</v>
      </c>
      <c r="K406" s="275" t="s">
        <v>658</v>
      </c>
      <c r="L406" s="283"/>
      <c r="M406" s="406" t="s">
        <v>1132</v>
      </c>
      <c r="N406" s="283" t="s">
        <v>1331</v>
      </c>
      <c r="O406" s="409">
        <v>2800000</v>
      </c>
      <c r="P406" s="409">
        <v>2800000</v>
      </c>
      <c r="Q406" s="315"/>
      <c r="R406" s="315"/>
      <c r="S406" s="348"/>
      <c r="T406" s="351"/>
      <c r="U406" s="214"/>
      <c r="V406" s="409">
        <v>11200000</v>
      </c>
      <c r="W406" s="302">
        <f t="shared" si="48"/>
        <v>12544000.000000002</v>
      </c>
      <c r="X406" s="231"/>
      <c r="Y406" s="135">
        <v>2010</v>
      </c>
      <c r="Z406" s="408"/>
      <c r="AD406" s="233"/>
      <c r="AE406" s="233"/>
      <c r="AF406" s="233"/>
      <c r="AG406" s="233"/>
    </row>
    <row r="407" spans="2:33" s="213" customFormat="1" ht="48" customHeight="1" x14ac:dyDescent="0.25">
      <c r="B407" s="379" t="s">
        <v>1375</v>
      </c>
      <c r="C407" s="385" t="s">
        <v>2</v>
      </c>
      <c r="D407" s="160" t="s">
        <v>295</v>
      </c>
      <c r="E407" s="160" t="s">
        <v>296</v>
      </c>
      <c r="F407" s="160" t="s">
        <v>296</v>
      </c>
      <c r="G407" s="160" t="s">
        <v>1377</v>
      </c>
      <c r="H407" s="422" t="s">
        <v>95</v>
      </c>
      <c r="I407" s="214">
        <v>0</v>
      </c>
      <c r="J407" s="283" t="s">
        <v>502</v>
      </c>
      <c r="K407" s="275" t="s">
        <v>658</v>
      </c>
      <c r="L407" s="283"/>
      <c r="M407" s="406" t="s">
        <v>1132</v>
      </c>
      <c r="N407" s="283" t="s">
        <v>1331</v>
      </c>
      <c r="O407" s="409"/>
      <c r="P407" s="204">
        <v>200000000</v>
      </c>
      <c r="Q407" s="204">
        <v>600000000</v>
      </c>
      <c r="R407" s="201"/>
      <c r="S407" s="201"/>
      <c r="T407" s="351"/>
      <c r="U407" s="214"/>
      <c r="V407" s="409">
        <v>800000000</v>
      </c>
      <c r="W407" s="302">
        <f t="shared" ref="W407:W411" si="49">V407*1.12</f>
        <v>896000000.00000012</v>
      </c>
      <c r="X407" s="231"/>
      <c r="Y407" s="135">
        <v>2014</v>
      </c>
      <c r="Z407" s="408"/>
      <c r="AD407" s="233"/>
      <c r="AE407" s="233"/>
      <c r="AF407" s="233"/>
      <c r="AG407" s="233"/>
    </row>
    <row r="408" spans="2:33" s="213" customFormat="1" ht="48" customHeight="1" x14ac:dyDescent="0.25">
      <c r="B408" s="379" t="s">
        <v>1378</v>
      </c>
      <c r="C408" s="385" t="s">
        <v>2</v>
      </c>
      <c r="D408" s="423" t="s">
        <v>389</v>
      </c>
      <c r="E408" s="423" t="s">
        <v>384</v>
      </c>
      <c r="F408" s="423" t="s">
        <v>384</v>
      </c>
      <c r="G408" s="424" t="s">
        <v>1379</v>
      </c>
      <c r="H408" s="422" t="s">
        <v>95</v>
      </c>
      <c r="I408" s="214">
        <v>0</v>
      </c>
      <c r="J408" s="283" t="s">
        <v>502</v>
      </c>
      <c r="K408" s="275" t="s">
        <v>658</v>
      </c>
      <c r="L408" s="283"/>
      <c r="M408" s="406" t="s">
        <v>1132</v>
      </c>
      <c r="N408" s="283" t="s">
        <v>1331</v>
      </c>
      <c r="O408" s="409"/>
      <c r="P408" s="204">
        <v>14160000</v>
      </c>
      <c r="Q408" s="204">
        <v>56640000</v>
      </c>
      <c r="R408" s="201"/>
      <c r="S408" s="201"/>
      <c r="T408" s="351"/>
      <c r="U408" s="214"/>
      <c r="V408" s="409">
        <v>70800000</v>
      </c>
      <c r="W408" s="302">
        <f t="shared" si="49"/>
        <v>79296000.000000015</v>
      </c>
      <c r="X408" s="231"/>
      <c r="Y408" s="135">
        <v>2014</v>
      </c>
      <c r="Z408" s="408"/>
      <c r="AD408" s="233"/>
      <c r="AE408" s="233"/>
      <c r="AF408" s="233"/>
      <c r="AG408" s="233"/>
    </row>
    <row r="409" spans="2:33" s="213" customFormat="1" ht="48" customHeight="1" x14ac:dyDescent="0.25">
      <c r="B409" s="379" t="s">
        <v>1380</v>
      </c>
      <c r="C409" s="385" t="s">
        <v>2</v>
      </c>
      <c r="D409" s="391" t="s">
        <v>1381</v>
      </c>
      <c r="E409" s="276" t="s">
        <v>1382</v>
      </c>
      <c r="F409" s="276" t="s">
        <v>1382</v>
      </c>
      <c r="G409" s="276" t="s">
        <v>1385</v>
      </c>
      <c r="H409" s="422" t="s">
        <v>95</v>
      </c>
      <c r="I409" s="214">
        <v>0</v>
      </c>
      <c r="J409" s="283" t="s">
        <v>502</v>
      </c>
      <c r="K409" s="275" t="s">
        <v>1383</v>
      </c>
      <c r="L409" s="283"/>
      <c r="M409" s="406" t="s">
        <v>1132</v>
      </c>
      <c r="N409" s="283" t="s">
        <v>1331</v>
      </c>
      <c r="O409" s="409"/>
      <c r="P409" s="204">
        <v>125000</v>
      </c>
      <c r="Q409" s="204">
        <v>375000</v>
      </c>
      <c r="R409" s="201"/>
      <c r="S409" s="201"/>
      <c r="T409" s="351"/>
      <c r="U409" s="214"/>
      <c r="V409" s="409">
        <v>500000</v>
      </c>
      <c r="W409" s="302">
        <f t="shared" si="49"/>
        <v>560000</v>
      </c>
      <c r="X409" s="231"/>
      <c r="Y409" s="135">
        <v>2014</v>
      </c>
      <c r="Z409" s="408"/>
      <c r="AD409" s="233"/>
      <c r="AE409" s="233"/>
      <c r="AF409" s="233"/>
      <c r="AG409" s="233"/>
    </row>
    <row r="410" spans="2:33" s="213" customFormat="1" ht="48" customHeight="1" x14ac:dyDescent="0.25">
      <c r="B410" s="379" t="s">
        <v>1384</v>
      </c>
      <c r="C410" s="385" t="s">
        <v>2</v>
      </c>
      <c r="D410" s="425" t="s">
        <v>498</v>
      </c>
      <c r="E410" s="425" t="s">
        <v>499</v>
      </c>
      <c r="F410" s="426" t="s">
        <v>500</v>
      </c>
      <c r="G410" s="426" t="s">
        <v>1387</v>
      </c>
      <c r="H410" s="422" t="s">
        <v>95</v>
      </c>
      <c r="I410" s="214">
        <v>0</v>
      </c>
      <c r="J410" s="283" t="s">
        <v>1386</v>
      </c>
      <c r="K410" s="275" t="s">
        <v>1098</v>
      </c>
      <c r="L410" s="283"/>
      <c r="M410" s="406" t="s">
        <v>1132</v>
      </c>
      <c r="N410" s="283" t="s">
        <v>1331</v>
      </c>
      <c r="O410" s="409"/>
      <c r="P410" s="204">
        <v>9879845</v>
      </c>
      <c r="Q410" s="204">
        <v>6420155</v>
      </c>
      <c r="R410" s="201"/>
      <c r="S410" s="201"/>
      <c r="T410" s="351"/>
      <c r="U410" s="214"/>
      <c r="V410" s="409">
        <v>16300000</v>
      </c>
      <c r="W410" s="302">
        <f t="shared" si="49"/>
        <v>18256000</v>
      </c>
      <c r="X410" s="231"/>
      <c r="Y410" s="135">
        <v>2014</v>
      </c>
      <c r="Z410" s="408"/>
      <c r="AD410" s="233"/>
      <c r="AE410" s="233"/>
      <c r="AF410" s="233"/>
      <c r="AG410" s="233"/>
    </row>
    <row r="411" spans="2:33" s="213" customFormat="1" ht="48" customHeight="1" x14ac:dyDescent="0.25">
      <c r="B411" s="379" t="s">
        <v>1388</v>
      </c>
      <c r="C411" s="385" t="s">
        <v>2</v>
      </c>
      <c r="D411" s="82" t="s">
        <v>295</v>
      </c>
      <c r="E411" s="82" t="s">
        <v>296</v>
      </c>
      <c r="F411" s="82" t="s">
        <v>296</v>
      </c>
      <c r="G411" s="82" t="s">
        <v>1389</v>
      </c>
      <c r="H411" s="422" t="s">
        <v>95</v>
      </c>
      <c r="I411" s="214">
        <v>0</v>
      </c>
      <c r="J411" s="283" t="s">
        <v>502</v>
      </c>
      <c r="K411" s="427" t="s">
        <v>1390</v>
      </c>
      <c r="L411" s="283"/>
      <c r="M411" s="406" t="s">
        <v>1132</v>
      </c>
      <c r="N411" s="283" t="s">
        <v>1331</v>
      </c>
      <c r="O411" s="409"/>
      <c r="P411" s="204">
        <v>12905231</v>
      </c>
      <c r="Q411" s="204">
        <v>54266256.333333336</v>
      </c>
      <c r="R411" s="204">
        <v>54266256.333333336</v>
      </c>
      <c r="S411" s="204">
        <v>54266256.333333336</v>
      </c>
      <c r="T411" s="351"/>
      <c r="U411" s="214"/>
      <c r="V411" s="409">
        <v>175704000</v>
      </c>
      <c r="W411" s="302">
        <f t="shared" si="49"/>
        <v>196788480.00000003</v>
      </c>
      <c r="X411" s="231"/>
      <c r="Y411" s="135">
        <v>2014</v>
      </c>
      <c r="Z411" s="408"/>
      <c r="AD411" s="233"/>
      <c r="AE411" s="233"/>
      <c r="AF411" s="233"/>
      <c r="AG411" s="233"/>
    </row>
    <row r="412" spans="2:33" s="213" customFormat="1" ht="48" customHeight="1" x14ac:dyDescent="0.25">
      <c r="B412" s="379" t="s">
        <v>1391</v>
      </c>
      <c r="C412" s="385" t="s">
        <v>2</v>
      </c>
      <c r="D412" s="82" t="s">
        <v>1392</v>
      </c>
      <c r="E412" s="82" t="s">
        <v>1393</v>
      </c>
      <c r="F412" s="82" t="s">
        <v>1393</v>
      </c>
      <c r="G412" s="82" t="s">
        <v>1394</v>
      </c>
      <c r="H412" s="214" t="s">
        <v>1129</v>
      </c>
      <c r="I412" s="214">
        <v>100</v>
      </c>
      <c r="J412" s="283" t="s">
        <v>1386</v>
      </c>
      <c r="K412" s="428" t="s">
        <v>469</v>
      </c>
      <c r="L412" s="283"/>
      <c r="M412" s="406" t="s">
        <v>1395</v>
      </c>
      <c r="N412" s="283" t="s">
        <v>1331</v>
      </c>
      <c r="O412" s="409"/>
      <c r="P412" s="204">
        <v>5097890</v>
      </c>
      <c r="Q412" s="204">
        <v>30587340</v>
      </c>
      <c r="R412" s="204">
        <v>25489450</v>
      </c>
      <c r="S412" s="204"/>
      <c r="T412" s="351"/>
      <c r="U412" s="214"/>
      <c r="V412" s="409">
        <v>61174680</v>
      </c>
      <c r="W412" s="302">
        <f t="shared" ref="W412:W418" si="50">V412*1.12</f>
        <v>68515641.600000009</v>
      </c>
      <c r="X412" s="231"/>
      <c r="Y412" s="135">
        <v>2014</v>
      </c>
      <c r="Z412" s="408"/>
      <c r="AD412" s="233"/>
      <c r="AE412" s="233"/>
      <c r="AF412" s="233"/>
      <c r="AG412" s="233"/>
    </row>
    <row r="413" spans="2:33" s="213" customFormat="1" ht="48" customHeight="1" x14ac:dyDescent="0.25">
      <c r="B413" s="379" t="s">
        <v>1396</v>
      </c>
      <c r="C413" s="385" t="s">
        <v>2</v>
      </c>
      <c r="D413" s="319" t="s">
        <v>533</v>
      </c>
      <c r="E413" s="319" t="s">
        <v>534</v>
      </c>
      <c r="F413" s="319" t="s">
        <v>984</v>
      </c>
      <c r="G413" s="319" t="s">
        <v>1398</v>
      </c>
      <c r="H413" s="214" t="s">
        <v>95</v>
      </c>
      <c r="I413" s="214">
        <v>100</v>
      </c>
      <c r="J413" s="283" t="s">
        <v>1386</v>
      </c>
      <c r="K413" s="319" t="s">
        <v>1098</v>
      </c>
      <c r="L413" s="283"/>
      <c r="M413" s="319" t="s">
        <v>1352</v>
      </c>
      <c r="N413" s="283" t="s">
        <v>1331</v>
      </c>
      <c r="O413" s="409"/>
      <c r="P413" s="351">
        <f>7000*2</f>
        <v>14000</v>
      </c>
      <c r="Q413" s="351">
        <f>7000*12</f>
        <v>84000</v>
      </c>
      <c r="R413" s="351"/>
      <c r="S413" s="204"/>
      <c r="T413" s="351"/>
      <c r="U413" s="214"/>
      <c r="V413" s="409">
        <v>98000</v>
      </c>
      <c r="W413" s="302">
        <f t="shared" si="50"/>
        <v>109760.00000000001</v>
      </c>
      <c r="X413" s="231"/>
      <c r="Y413" s="135">
        <v>2014</v>
      </c>
      <c r="Z413" s="408"/>
      <c r="AD413" s="233"/>
      <c r="AE413" s="233"/>
      <c r="AF413" s="233"/>
      <c r="AG413" s="233"/>
    </row>
    <row r="414" spans="2:33" s="213" customFormat="1" ht="48" customHeight="1" x14ac:dyDescent="0.25">
      <c r="B414" s="379" t="s">
        <v>1397</v>
      </c>
      <c r="C414" s="385" t="s">
        <v>2</v>
      </c>
      <c r="D414" s="319" t="s">
        <v>1239</v>
      </c>
      <c r="E414" s="319" t="s">
        <v>1080</v>
      </c>
      <c r="F414" s="319" t="s">
        <v>1240</v>
      </c>
      <c r="G414" s="319" t="s">
        <v>1399</v>
      </c>
      <c r="H414" s="214" t="s">
        <v>95</v>
      </c>
      <c r="I414" s="214">
        <v>100</v>
      </c>
      <c r="J414" s="281" t="s">
        <v>1386</v>
      </c>
      <c r="K414" s="415" t="s">
        <v>1098</v>
      </c>
      <c r="L414" s="281"/>
      <c r="M414" s="319" t="s">
        <v>1352</v>
      </c>
      <c r="N414" s="283" t="s">
        <v>1331</v>
      </c>
      <c r="O414" s="429"/>
      <c r="P414" s="351">
        <f>164090*2</f>
        <v>328180</v>
      </c>
      <c r="Q414" s="351">
        <f>164090*12</f>
        <v>1969080</v>
      </c>
      <c r="R414" s="351"/>
      <c r="S414" s="204"/>
      <c r="T414" s="351"/>
      <c r="U414" s="214"/>
      <c r="V414" s="409">
        <v>2297260</v>
      </c>
      <c r="W414" s="302">
        <f t="shared" si="50"/>
        <v>2572931.2000000002</v>
      </c>
      <c r="X414" s="231"/>
      <c r="Y414" s="135">
        <v>2014</v>
      </c>
      <c r="Z414" s="408"/>
      <c r="AD414" s="233"/>
      <c r="AE414" s="233"/>
      <c r="AF414" s="233"/>
      <c r="AG414" s="233"/>
    </row>
    <row r="415" spans="2:33" s="213" customFormat="1" ht="48" customHeight="1" x14ac:dyDescent="0.25">
      <c r="B415" s="379" t="s">
        <v>1405</v>
      </c>
      <c r="C415" s="385" t="s">
        <v>2</v>
      </c>
      <c r="D415" s="306" t="s">
        <v>539</v>
      </c>
      <c r="E415" s="279" t="s">
        <v>540</v>
      </c>
      <c r="F415" s="279" t="s">
        <v>540</v>
      </c>
      <c r="G415" s="430" t="s">
        <v>1406</v>
      </c>
      <c r="H415" s="214" t="s">
        <v>3</v>
      </c>
      <c r="I415" s="214">
        <v>100</v>
      </c>
      <c r="J415" s="341" t="s">
        <v>1033</v>
      </c>
      <c r="K415" s="319" t="s">
        <v>1098</v>
      </c>
      <c r="L415" s="283"/>
      <c r="M415" s="319" t="s">
        <v>1490</v>
      </c>
      <c r="N415" s="283" t="s">
        <v>1331</v>
      </c>
      <c r="O415" s="409"/>
      <c r="P415" s="309">
        <v>8336071.4299999997</v>
      </c>
      <c r="Q415" s="310">
        <v>50850035.710000001</v>
      </c>
      <c r="R415" s="310">
        <v>55935039.289999999</v>
      </c>
      <c r="S415" s="309">
        <v>50433233.93</v>
      </c>
      <c r="T415" s="351"/>
      <c r="U415" s="214"/>
      <c r="V415" s="358">
        <v>0</v>
      </c>
      <c r="W415" s="302">
        <f t="shared" si="50"/>
        <v>0</v>
      </c>
      <c r="X415" s="231"/>
      <c r="Y415" s="135">
        <v>2014</v>
      </c>
      <c r="Z415" s="408" t="s">
        <v>1485</v>
      </c>
      <c r="AD415" s="233"/>
      <c r="AE415" s="233"/>
      <c r="AF415" s="233"/>
      <c r="AG415" s="233"/>
    </row>
    <row r="416" spans="2:33" s="213" customFormat="1" ht="48" customHeight="1" x14ac:dyDescent="0.25">
      <c r="B416" s="379" t="s">
        <v>1482</v>
      </c>
      <c r="C416" s="385" t="s">
        <v>2</v>
      </c>
      <c r="D416" s="306" t="s">
        <v>539</v>
      </c>
      <c r="E416" s="279" t="s">
        <v>540</v>
      </c>
      <c r="F416" s="279" t="s">
        <v>540</v>
      </c>
      <c r="G416" s="430" t="s">
        <v>1484</v>
      </c>
      <c r="H416" s="214" t="s">
        <v>3</v>
      </c>
      <c r="I416" s="214">
        <v>100</v>
      </c>
      <c r="J416" s="341" t="s">
        <v>1407</v>
      </c>
      <c r="K416" s="319" t="s">
        <v>1098</v>
      </c>
      <c r="L416" s="283"/>
      <c r="M416" s="279" t="s">
        <v>1483</v>
      </c>
      <c r="N416" s="283" t="s">
        <v>1331</v>
      </c>
      <c r="O416" s="409"/>
      <c r="P416" s="309">
        <v>3450357.14</v>
      </c>
      <c r="Q416" s="309">
        <v>41749321.43</v>
      </c>
      <c r="R416" s="309">
        <v>45924253.57</v>
      </c>
      <c r="S416" s="309">
        <v>45924253.57</v>
      </c>
      <c r="T416" s="351"/>
      <c r="U416" s="214"/>
      <c r="V416" s="358">
        <v>0</v>
      </c>
      <c r="W416" s="302">
        <f t="shared" si="50"/>
        <v>0</v>
      </c>
      <c r="X416" s="231"/>
      <c r="Y416" s="135">
        <v>2014</v>
      </c>
      <c r="Z416" s="408" t="s">
        <v>996</v>
      </c>
      <c r="AD416" s="233"/>
      <c r="AE416" s="233"/>
      <c r="AF416" s="233"/>
      <c r="AG416" s="233"/>
    </row>
    <row r="417" spans="2:33" s="213" customFormat="1" ht="48" customHeight="1" x14ac:dyDescent="0.25">
      <c r="B417" s="379" t="s">
        <v>1523</v>
      </c>
      <c r="C417" s="385" t="s">
        <v>2</v>
      </c>
      <c r="D417" s="306" t="s">
        <v>539</v>
      </c>
      <c r="E417" s="279" t="s">
        <v>540</v>
      </c>
      <c r="F417" s="279" t="s">
        <v>540</v>
      </c>
      <c r="G417" s="430" t="s">
        <v>1525</v>
      </c>
      <c r="H417" s="214" t="s">
        <v>3</v>
      </c>
      <c r="I417" s="214">
        <v>100</v>
      </c>
      <c r="J417" s="341" t="s">
        <v>1069</v>
      </c>
      <c r="K417" s="319" t="s">
        <v>1098</v>
      </c>
      <c r="L417" s="283"/>
      <c r="M417" s="279" t="s">
        <v>1490</v>
      </c>
      <c r="N417" s="283" t="s">
        <v>1331</v>
      </c>
      <c r="O417" s="409"/>
      <c r="P417" s="309"/>
      <c r="Q417" s="309">
        <v>52527857.140000001</v>
      </c>
      <c r="R417" s="309">
        <v>57780642.859999999</v>
      </c>
      <c r="S417" s="309">
        <v>63558707.140000001</v>
      </c>
      <c r="T417" s="351"/>
      <c r="U417" s="214"/>
      <c r="V417" s="409">
        <v>173867207.15000001</v>
      </c>
      <c r="W417" s="302">
        <f t="shared" si="50"/>
        <v>194731272.00800002</v>
      </c>
      <c r="X417" s="231"/>
      <c r="Y417" s="135" t="s">
        <v>1524</v>
      </c>
      <c r="Z417" s="408"/>
      <c r="AD417" s="233"/>
      <c r="AE417" s="233"/>
      <c r="AF417" s="233"/>
      <c r="AG417" s="233"/>
    </row>
    <row r="418" spans="2:33" s="213" customFormat="1" ht="48" customHeight="1" x14ac:dyDescent="0.25">
      <c r="B418" s="379" t="s">
        <v>1412</v>
      </c>
      <c r="C418" s="385" t="s">
        <v>2</v>
      </c>
      <c r="D418" s="431" t="s">
        <v>1413</v>
      </c>
      <c r="E418" s="431" t="s">
        <v>1414</v>
      </c>
      <c r="F418" s="431" t="s">
        <v>1414</v>
      </c>
      <c r="G418" s="431" t="s">
        <v>1415</v>
      </c>
      <c r="H418" s="214" t="s">
        <v>1417</v>
      </c>
      <c r="I418" s="214">
        <v>0</v>
      </c>
      <c r="J418" s="341" t="s">
        <v>1407</v>
      </c>
      <c r="K418" s="319" t="s">
        <v>1098</v>
      </c>
      <c r="L418" s="283"/>
      <c r="M418" s="279" t="s">
        <v>1416</v>
      </c>
      <c r="N418" s="283" t="s">
        <v>1331</v>
      </c>
      <c r="O418" s="409"/>
      <c r="P418" s="351">
        <v>2002000</v>
      </c>
      <c r="Q418" s="351">
        <v>2002000</v>
      </c>
      <c r="R418" s="351">
        <v>2002000</v>
      </c>
      <c r="S418" s="351"/>
      <c r="T418" s="351"/>
      <c r="U418" s="214"/>
      <c r="V418" s="358">
        <v>0</v>
      </c>
      <c r="W418" s="302">
        <f t="shared" si="50"/>
        <v>0</v>
      </c>
      <c r="X418" s="231"/>
      <c r="Y418" s="135">
        <v>2014</v>
      </c>
      <c r="Z418" s="408" t="s">
        <v>996</v>
      </c>
      <c r="AD418" s="233"/>
      <c r="AE418" s="233"/>
      <c r="AF418" s="233"/>
      <c r="AG418" s="233"/>
    </row>
    <row r="419" spans="2:33" s="213" customFormat="1" ht="48" customHeight="1" x14ac:dyDescent="0.25">
      <c r="B419" s="160" t="s">
        <v>1418</v>
      </c>
      <c r="C419" s="385" t="s">
        <v>2</v>
      </c>
      <c r="D419" s="431" t="s">
        <v>1413</v>
      </c>
      <c r="E419" s="431" t="s">
        <v>1414</v>
      </c>
      <c r="F419" s="431" t="s">
        <v>1414</v>
      </c>
      <c r="G419" s="431" t="s">
        <v>1415</v>
      </c>
      <c r="H419" s="214" t="s">
        <v>617</v>
      </c>
      <c r="I419" s="214">
        <v>0</v>
      </c>
      <c r="J419" s="341" t="s">
        <v>1407</v>
      </c>
      <c r="K419" s="319" t="s">
        <v>1098</v>
      </c>
      <c r="L419" s="283"/>
      <c r="M419" s="279" t="s">
        <v>1416</v>
      </c>
      <c r="N419" s="283" t="s">
        <v>1331</v>
      </c>
      <c r="O419" s="409"/>
      <c r="P419" s="351">
        <v>2002000</v>
      </c>
      <c r="Q419" s="351">
        <v>2002000</v>
      </c>
      <c r="R419" s="351">
        <v>2002000</v>
      </c>
      <c r="S419" s="351"/>
      <c r="T419" s="351"/>
      <c r="U419" s="214"/>
      <c r="V419" s="358">
        <v>6006000</v>
      </c>
      <c r="W419" s="302">
        <f t="shared" ref="W419:W434" si="51">V419*1.12</f>
        <v>6726720.0000000009</v>
      </c>
      <c r="X419" s="231"/>
      <c r="Y419" s="135">
        <v>2014</v>
      </c>
      <c r="Z419" s="408"/>
      <c r="AD419" s="233"/>
      <c r="AE419" s="233"/>
      <c r="AF419" s="233"/>
      <c r="AG419" s="233"/>
    </row>
    <row r="420" spans="2:33" s="213" customFormat="1" ht="48" customHeight="1" x14ac:dyDescent="0.25">
      <c r="B420" s="160" t="s">
        <v>1419</v>
      </c>
      <c r="C420" s="385" t="s">
        <v>2</v>
      </c>
      <c r="D420" s="82" t="s">
        <v>737</v>
      </c>
      <c r="E420" s="82" t="s">
        <v>738</v>
      </c>
      <c r="F420" s="82" t="s">
        <v>739</v>
      </c>
      <c r="G420" s="82" t="s">
        <v>740</v>
      </c>
      <c r="H420" s="214" t="s">
        <v>95</v>
      </c>
      <c r="I420" s="214" t="s">
        <v>1421</v>
      </c>
      <c r="J420" s="341" t="s">
        <v>1025</v>
      </c>
      <c r="K420" s="319" t="s">
        <v>1098</v>
      </c>
      <c r="L420" s="283"/>
      <c r="M420" s="279" t="s">
        <v>497</v>
      </c>
      <c r="N420" s="283" t="s">
        <v>1331</v>
      </c>
      <c r="O420" s="409"/>
      <c r="P420" s="172">
        <v>592715.52000000002</v>
      </c>
      <c r="Q420" s="172">
        <v>2113718.4</v>
      </c>
      <c r="R420" s="172">
        <v>2113718.4</v>
      </c>
      <c r="S420" s="351"/>
      <c r="T420" s="351"/>
      <c r="U420" s="214"/>
      <c r="V420" s="358">
        <v>4820152.3200000003</v>
      </c>
      <c r="W420" s="302">
        <f t="shared" si="51"/>
        <v>5398570.5984000005</v>
      </c>
      <c r="X420" s="231"/>
      <c r="Y420" s="135">
        <v>2014</v>
      </c>
      <c r="Z420" s="408" t="s">
        <v>756</v>
      </c>
      <c r="AD420" s="233"/>
      <c r="AE420" s="233"/>
      <c r="AF420" s="233"/>
      <c r="AG420" s="233"/>
    </row>
    <row r="421" spans="2:33" s="213" customFormat="1" ht="48" customHeight="1" x14ac:dyDescent="0.25">
      <c r="B421" s="160" t="s">
        <v>1420</v>
      </c>
      <c r="C421" s="385" t="s">
        <v>2</v>
      </c>
      <c r="D421" s="160" t="s">
        <v>1422</v>
      </c>
      <c r="E421" s="432" t="s">
        <v>1423</v>
      </c>
      <c r="F421" s="432" t="s">
        <v>1424</v>
      </c>
      <c r="G421" s="160" t="s">
        <v>1425</v>
      </c>
      <c r="H421" s="214" t="s">
        <v>95</v>
      </c>
      <c r="I421" s="214">
        <v>0</v>
      </c>
      <c r="J421" s="341" t="s">
        <v>1025</v>
      </c>
      <c r="K421" s="319" t="s">
        <v>1098</v>
      </c>
      <c r="L421" s="283"/>
      <c r="M421" s="279" t="s">
        <v>497</v>
      </c>
      <c r="N421" s="283" t="s">
        <v>1331</v>
      </c>
      <c r="O421" s="409"/>
      <c r="P421" s="172">
        <f>8000*4</f>
        <v>32000</v>
      </c>
      <c r="Q421" s="172">
        <f>48000*4</f>
        <v>192000</v>
      </c>
      <c r="R421" s="351"/>
      <c r="S421" s="351"/>
      <c r="T421" s="351"/>
      <c r="U421" s="214"/>
      <c r="V421" s="358">
        <v>224000</v>
      </c>
      <c r="W421" s="302">
        <f t="shared" si="51"/>
        <v>250880.00000000003</v>
      </c>
      <c r="X421" s="231"/>
      <c r="Y421" s="135">
        <v>2014</v>
      </c>
      <c r="Z421" s="408"/>
      <c r="AD421" s="233"/>
      <c r="AE421" s="233"/>
      <c r="AF421" s="233"/>
      <c r="AG421" s="233"/>
    </row>
    <row r="422" spans="2:33" s="213" customFormat="1" ht="48" customHeight="1" x14ac:dyDescent="0.25">
      <c r="B422" s="160" t="s">
        <v>1426</v>
      </c>
      <c r="C422" s="385" t="s">
        <v>2</v>
      </c>
      <c r="D422" s="283" t="s">
        <v>295</v>
      </c>
      <c r="E422" s="283" t="s">
        <v>296</v>
      </c>
      <c r="F422" s="283" t="s">
        <v>296</v>
      </c>
      <c r="G422" s="283" t="s">
        <v>1427</v>
      </c>
      <c r="H422" s="214" t="s">
        <v>95</v>
      </c>
      <c r="I422" s="214">
        <v>0</v>
      </c>
      <c r="J422" s="341" t="s">
        <v>1025</v>
      </c>
      <c r="K422" s="319" t="s">
        <v>1428</v>
      </c>
      <c r="L422" s="283"/>
      <c r="M422" s="279" t="s">
        <v>497</v>
      </c>
      <c r="N422" s="283" t="s">
        <v>1331</v>
      </c>
      <c r="O422" s="409"/>
      <c r="P422" s="407">
        <v>31850000</v>
      </c>
      <c r="Q422" s="407">
        <v>191100000</v>
      </c>
      <c r="R422" s="407">
        <v>191100000</v>
      </c>
      <c r="S422" s="351"/>
      <c r="T422" s="351"/>
      <c r="U422" s="214"/>
      <c r="V422" s="358">
        <v>414050000</v>
      </c>
      <c r="W422" s="302">
        <f t="shared" si="51"/>
        <v>463736000.00000006</v>
      </c>
      <c r="X422" s="231"/>
      <c r="Y422" s="135">
        <v>2014</v>
      </c>
      <c r="Z422" s="408"/>
      <c r="AD422" s="233"/>
      <c r="AE422" s="233"/>
      <c r="AF422" s="233"/>
      <c r="AG422" s="233"/>
    </row>
    <row r="423" spans="2:33" s="213" customFormat="1" ht="48" customHeight="1" x14ac:dyDescent="0.25">
      <c r="B423" s="160" t="s">
        <v>1429</v>
      </c>
      <c r="C423" s="385" t="s">
        <v>2</v>
      </c>
      <c r="D423" s="275" t="s">
        <v>533</v>
      </c>
      <c r="E423" s="275" t="s">
        <v>534</v>
      </c>
      <c r="F423" s="275" t="s">
        <v>984</v>
      </c>
      <c r="G423" s="275" t="s">
        <v>1433</v>
      </c>
      <c r="H423" s="311" t="s">
        <v>95</v>
      </c>
      <c r="I423" s="214">
        <v>100</v>
      </c>
      <c r="J423" s="275" t="s">
        <v>1020</v>
      </c>
      <c r="K423" s="275" t="s">
        <v>1553</v>
      </c>
      <c r="L423" s="283"/>
      <c r="M423" s="275" t="s">
        <v>1352</v>
      </c>
      <c r="N423" s="283" t="s">
        <v>1331</v>
      </c>
      <c r="O423" s="409"/>
      <c r="P423" s="232"/>
      <c r="Q423" s="311">
        <f>1710*12</f>
        <v>20520</v>
      </c>
      <c r="R423" s="311">
        <f>1710*12</f>
        <v>20520</v>
      </c>
      <c r="S423" s="351"/>
      <c r="T423" s="351"/>
      <c r="U423" s="214"/>
      <c r="V423" s="311">
        <f>Q423+R423</f>
        <v>41040</v>
      </c>
      <c r="W423" s="302">
        <f t="shared" si="51"/>
        <v>45964.800000000003</v>
      </c>
      <c r="X423" s="231"/>
      <c r="Y423" s="135">
        <v>2014</v>
      </c>
      <c r="Z423" s="408"/>
      <c r="AD423" s="233"/>
      <c r="AE423" s="233"/>
      <c r="AF423" s="233"/>
      <c r="AG423" s="233"/>
    </row>
    <row r="424" spans="2:33" s="213" customFormat="1" ht="48" customHeight="1" x14ac:dyDescent="0.25">
      <c r="B424" s="160" t="s">
        <v>1430</v>
      </c>
      <c r="C424" s="385" t="s">
        <v>2</v>
      </c>
      <c r="D424" s="275" t="s">
        <v>533</v>
      </c>
      <c r="E424" s="275" t="s">
        <v>534</v>
      </c>
      <c r="F424" s="275" t="s">
        <v>984</v>
      </c>
      <c r="G424" s="275" t="s">
        <v>1434</v>
      </c>
      <c r="H424" s="311" t="s">
        <v>95</v>
      </c>
      <c r="I424" s="214">
        <v>100</v>
      </c>
      <c r="J424" s="275" t="s">
        <v>1020</v>
      </c>
      <c r="K424" s="275" t="s">
        <v>1553</v>
      </c>
      <c r="L424" s="283"/>
      <c r="M424" s="275" t="s">
        <v>1352</v>
      </c>
      <c r="N424" s="283" t="s">
        <v>1331</v>
      </c>
      <c r="O424" s="409"/>
      <c r="P424" s="232"/>
      <c r="Q424" s="311">
        <f>40000*12</f>
        <v>480000</v>
      </c>
      <c r="R424" s="311">
        <f>40000*12</f>
        <v>480000</v>
      </c>
      <c r="S424" s="351"/>
      <c r="T424" s="351"/>
      <c r="U424" s="214"/>
      <c r="V424" s="311">
        <f>Q424+R424</f>
        <v>960000</v>
      </c>
      <c r="W424" s="302">
        <f t="shared" si="51"/>
        <v>1075200</v>
      </c>
      <c r="X424" s="231"/>
      <c r="Y424" s="135">
        <v>2014</v>
      </c>
      <c r="Z424" s="408"/>
      <c r="AD424" s="233"/>
      <c r="AE424" s="233"/>
      <c r="AF424" s="233"/>
      <c r="AG424" s="233"/>
    </row>
    <row r="425" spans="2:33" s="213" customFormat="1" ht="48" customHeight="1" x14ac:dyDescent="0.25">
      <c r="B425" s="160" t="s">
        <v>1431</v>
      </c>
      <c r="C425" s="385" t="s">
        <v>2</v>
      </c>
      <c r="D425" s="275" t="s">
        <v>1239</v>
      </c>
      <c r="E425" s="275" t="s">
        <v>1080</v>
      </c>
      <c r="F425" s="275" t="s">
        <v>1240</v>
      </c>
      <c r="G425" s="275" t="s">
        <v>1399</v>
      </c>
      <c r="H425" s="311" t="s">
        <v>95</v>
      </c>
      <c r="I425" s="214">
        <v>100</v>
      </c>
      <c r="J425" s="275" t="s">
        <v>1020</v>
      </c>
      <c r="K425" s="275" t="s">
        <v>1553</v>
      </c>
      <c r="L425" s="283"/>
      <c r="M425" s="275" t="s">
        <v>1352</v>
      </c>
      <c r="N425" s="283" t="s">
        <v>1331</v>
      </c>
      <c r="O425" s="409"/>
      <c r="P425" s="232"/>
      <c r="Q425" s="311">
        <f>10250*12</f>
        <v>123000</v>
      </c>
      <c r="R425" s="311">
        <f>10250*12</f>
        <v>123000</v>
      </c>
      <c r="S425" s="351"/>
      <c r="T425" s="351"/>
      <c r="U425" s="214"/>
      <c r="V425" s="311">
        <f>SUM(Q425:T425)</f>
        <v>246000</v>
      </c>
      <c r="W425" s="302">
        <f t="shared" si="51"/>
        <v>275520</v>
      </c>
      <c r="X425" s="231"/>
      <c r="Y425" s="135">
        <v>2014</v>
      </c>
      <c r="Z425" s="408"/>
      <c r="AD425" s="233"/>
      <c r="AE425" s="233"/>
      <c r="AF425" s="233"/>
      <c r="AG425" s="233"/>
    </row>
    <row r="426" spans="2:33" s="213" customFormat="1" ht="48" customHeight="1" x14ac:dyDescent="0.25">
      <c r="B426" s="160" t="s">
        <v>1432</v>
      </c>
      <c r="C426" s="385" t="s">
        <v>2</v>
      </c>
      <c r="D426" s="279" t="s">
        <v>489</v>
      </c>
      <c r="E426" s="279" t="s">
        <v>1300</v>
      </c>
      <c r="F426" s="279" t="s">
        <v>1301</v>
      </c>
      <c r="G426" s="279" t="s">
        <v>1435</v>
      </c>
      <c r="H426" s="311" t="s">
        <v>95</v>
      </c>
      <c r="I426" s="214">
        <v>0</v>
      </c>
      <c r="J426" s="275" t="s">
        <v>1021</v>
      </c>
      <c r="K426" s="283" t="s">
        <v>1436</v>
      </c>
      <c r="L426" s="283"/>
      <c r="M426" s="283" t="s">
        <v>1132</v>
      </c>
      <c r="N426" s="283" t="s">
        <v>1331</v>
      </c>
      <c r="O426" s="409"/>
      <c r="P426" s="404">
        <v>6840000</v>
      </c>
      <c r="Q426" s="404">
        <v>27360000</v>
      </c>
      <c r="R426" s="404">
        <v>27360000</v>
      </c>
      <c r="S426" s="351"/>
      <c r="T426" s="351"/>
      <c r="U426" s="214"/>
      <c r="V426" s="358">
        <v>0</v>
      </c>
      <c r="W426" s="302">
        <f t="shared" ref="W426" si="52">V426*1.12</f>
        <v>0</v>
      </c>
      <c r="X426" s="231"/>
      <c r="Y426" s="135">
        <v>2014</v>
      </c>
      <c r="Z426" s="408" t="s">
        <v>1441</v>
      </c>
      <c r="AD426" s="233"/>
      <c r="AE426" s="233"/>
      <c r="AF426" s="233"/>
      <c r="AG426" s="233"/>
    </row>
    <row r="427" spans="2:33" s="213" customFormat="1" ht="48" customHeight="1" x14ac:dyDescent="0.25">
      <c r="B427" s="160" t="s">
        <v>1440</v>
      </c>
      <c r="C427" s="385" t="s">
        <v>2</v>
      </c>
      <c r="D427" s="279" t="s">
        <v>489</v>
      </c>
      <c r="E427" s="279" t="s">
        <v>1300</v>
      </c>
      <c r="F427" s="279" t="s">
        <v>1301</v>
      </c>
      <c r="G427" s="279" t="s">
        <v>1435</v>
      </c>
      <c r="H427" s="311" t="s">
        <v>95</v>
      </c>
      <c r="I427" s="214">
        <v>0</v>
      </c>
      <c r="J427" s="275" t="s">
        <v>1021</v>
      </c>
      <c r="K427" s="283" t="s">
        <v>1436</v>
      </c>
      <c r="L427" s="283"/>
      <c r="M427" s="283" t="s">
        <v>1132</v>
      </c>
      <c r="N427" s="283" t="s">
        <v>1331</v>
      </c>
      <c r="O427" s="409"/>
      <c r="P427" s="404">
        <v>9840000</v>
      </c>
      <c r="Q427" s="404">
        <v>27360000</v>
      </c>
      <c r="R427" s="404">
        <v>27360000</v>
      </c>
      <c r="S427" s="351"/>
      <c r="T427" s="351"/>
      <c r="U427" s="214"/>
      <c r="V427" s="358">
        <v>64560000</v>
      </c>
      <c r="W427" s="302">
        <f t="shared" si="51"/>
        <v>72307200</v>
      </c>
      <c r="X427" s="231"/>
      <c r="Y427" s="135">
        <v>2014</v>
      </c>
      <c r="Z427" s="408"/>
      <c r="AD427" s="233"/>
      <c r="AE427" s="233"/>
      <c r="AF427" s="233"/>
      <c r="AG427" s="233"/>
    </row>
    <row r="428" spans="2:33" s="213" customFormat="1" ht="48" customHeight="1" x14ac:dyDescent="0.25">
      <c r="B428" s="160" t="s">
        <v>1437</v>
      </c>
      <c r="C428" s="385" t="s">
        <v>2</v>
      </c>
      <c r="D428" s="279" t="s">
        <v>489</v>
      </c>
      <c r="E428" s="279" t="s">
        <v>1300</v>
      </c>
      <c r="F428" s="279" t="s">
        <v>1301</v>
      </c>
      <c r="G428" s="279" t="s">
        <v>1438</v>
      </c>
      <c r="H428" s="311" t="s">
        <v>95</v>
      </c>
      <c r="I428" s="214">
        <v>0</v>
      </c>
      <c r="J428" s="275" t="s">
        <v>1021</v>
      </c>
      <c r="K428" s="283" t="s">
        <v>1439</v>
      </c>
      <c r="L428" s="283"/>
      <c r="M428" s="283" t="s">
        <v>1132</v>
      </c>
      <c r="N428" s="283" t="s">
        <v>1331</v>
      </c>
      <c r="O428" s="409"/>
      <c r="P428" s="404">
        <v>13356553.846153846</v>
      </c>
      <c r="Q428" s="404">
        <v>80139323.076923072</v>
      </c>
      <c r="R428" s="404">
        <v>80139323.076923072</v>
      </c>
      <c r="S428" s="351"/>
      <c r="T428" s="351"/>
      <c r="U428" s="214"/>
      <c r="V428" s="404">
        <v>173635200</v>
      </c>
      <c r="W428" s="302">
        <f t="shared" si="51"/>
        <v>194471424.00000003</v>
      </c>
      <c r="X428" s="231"/>
      <c r="Y428" s="135">
        <v>2014</v>
      </c>
      <c r="Z428" s="408"/>
      <c r="AD428" s="233"/>
      <c r="AE428" s="233"/>
      <c r="AF428" s="233"/>
      <c r="AG428" s="233"/>
    </row>
    <row r="429" spans="2:33" s="213" customFormat="1" ht="48" customHeight="1" x14ac:dyDescent="0.25">
      <c r="B429" s="160" t="s">
        <v>1442</v>
      </c>
      <c r="C429" s="385" t="s">
        <v>2</v>
      </c>
      <c r="D429" s="279" t="s">
        <v>489</v>
      </c>
      <c r="E429" s="279" t="s">
        <v>1300</v>
      </c>
      <c r="F429" s="279" t="s">
        <v>1301</v>
      </c>
      <c r="G429" s="279" t="s">
        <v>1443</v>
      </c>
      <c r="H429" s="311" t="s">
        <v>95</v>
      </c>
      <c r="I429" s="214">
        <v>0</v>
      </c>
      <c r="J429" s="275" t="s">
        <v>1021</v>
      </c>
      <c r="K429" s="82" t="s">
        <v>1444</v>
      </c>
      <c r="L429" s="283"/>
      <c r="M429" s="283" t="s">
        <v>1132</v>
      </c>
      <c r="N429" s="283" t="s">
        <v>1331</v>
      </c>
      <c r="O429" s="409"/>
      <c r="P429" s="404">
        <v>2400000</v>
      </c>
      <c r="Q429" s="404">
        <v>14400000</v>
      </c>
      <c r="R429" s="404">
        <v>14400000</v>
      </c>
      <c r="S429" s="351"/>
      <c r="T429" s="351"/>
      <c r="U429" s="214"/>
      <c r="V429" s="404">
        <v>31200000</v>
      </c>
      <c r="W429" s="302">
        <f t="shared" si="51"/>
        <v>34944000</v>
      </c>
      <c r="X429" s="231"/>
      <c r="Y429" s="135">
        <v>2014</v>
      </c>
      <c r="Z429" s="408"/>
      <c r="AD429" s="233"/>
      <c r="AE429" s="233"/>
      <c r="AF429" s="233"/>
      <c r="AG429" s="233"/>
    </row>
    <row r="430" spans="2:33" s="213" customFormat="1" ht="48" customHeight="1" x14ac:dyDescent="0.25">
      <c r="B430" s="160" t="s">
        <v>1445</v>
      </c>
      <c r="C430" s="385" t="s">
        <v>2</v>
      </c>
      <c r="D430" s="392" t="s">
        <v>259</v>
      </c>
      <c r="E430" s="392" t="s">
        <v>260</v>
      </c>
      <c r="F430" s="392" t="s">
        <v>261</v>
      </c>
      <c r="G430" s="392" t="s">
        <v>1446</v>
      </c>
      <c r="H430" s="311" t="s">
        <v>3</v>
      </c>
      <c r="I430" s="214">
        <v>0</v>
      </c>
      <c r="J430" s="275" t="s">
        <v>1019</v>
      </c>
      <c r="K430" s="433" t="s">
        <v>1447</v>
      </c>
      <c r="L430" s="283"/>
      <c r="M430" s="283" t="s">
        <v>1132</v>
      </c>
      <c r="N430" s="283" t="s">
        <v>1331</v>
      </c>
      <c r="O430" s="409"/>
      <c r="P430" s="404"/>
      <c r="Q430" s="454">
        <v>193552040.36666667</v>
      </c>
      <c r="R430" s="454">
        <v>193552040.36666667</v>
      </c>
      <c r="S430" s="454">
        <v>193552040.36666667</v>
      </c>
      <c r="T430" s="351"/>
      <c r="U430" s="214"/>
      <c r="V430" s="454">
        <v>580656121.10000002</v>
      </c>
      <c r="W430" s="302">
        <f t="shared" si="51"/>
        <v>650334855.63200009</v>
      </c>
      <c r="X430" s="231"/>
      <c r="Y430" s="135">
        <v>2014</v>
      </c>
      <c r="Z430" s="408" t="s">
        <v>352</v>
      </c>
      <c r="AD430" s="233"/>
      <c r="AE430" s="233"/>
      <c r="AF430" s="233"/>
      <c r="AG430" s="233"/>
    </row>
    <row r="431" spans="2:33" s="213" customFormat="1" ht="48" customHeight="1" x14ac:dyDescent="0.25">
      <c r="B431" s="160" t="s">
        <v>1448</v>
      </c>
      <c r="C431" s="385" t="s">
        <v>2</v>
      </c>
      <c r="D431" s="392" t="s">
        <v>1449</v>
      </c>
      <c r="E431" s="392" t="s">
        <v>1450</v>
      </c>
      <c r="F431" s="392" t="s">
        <v>1451</v>
      </c>
      <c r="G431" s="392" t="s">
        <v>1452</v>
      </c>
      <c r="H431" s="311" t="s">
        <v>3</v>
      </c>
      <c r="I431" s="214">
        <v>100</v>
      </c>
      <c r="J431" s="275" t="s">
        <v>1019</v>
      </c>
      <c r="K431" s="359" t="s">
        <v>1184</v>
      </c>
      <c r="L431" s="283"/>
      <c r="M431" s="283" t="s">
        <v>1132</v>
      </c>
      <c r="N431" s="283" t="s">
        <v>1331</v>
      </c>
      <c r="O431" s="409"/>
      <c r="P431" s="404"/>
      <c r="Q431" s="404">
        <v>13000000</v>
      </c>
      <c r="R431" s="404">
        <v>13500000</v>
      </c>
      <c r="S431" s="404">
        <v>13500000</v>
      </c>
      <c r="T431" s="351"/>
      <c r="U431" s="214"/>
      <c r="V431" s="404">
        <v>40000000</v>
      </c>
      <c r="W431" s="302">
        <f t="shared" si="51"/>
        <v>44800000.000000007</v>
      </c>
      <c r="X431" s="231"/>
      <c r="Y431" s="135">
        <v>2014</v>
      </c>
      <c r="Z431" s="408"/>
      <c r="AD431" s="233"/>
      <c r="AE431" s="233"/>
      <c r="AF431" s="233"/>
      <c r="AG431" s="233"/>
    </row>
    <row r="432" spans="2:33" s="213" customFormat="1" ht="48" customHeight="1" x14ac:dyDescent="0.25">
      <c r="B432" s="160" t="s">
        <v>1453</v>
      </c>
      <c r="C432" s="385" t="s">
        <v>2</v>
      </c>
      <c r="D432" s="392" t="s">
        <v>392</v>
      </c>
      <c r="E432" s="392" t="s">
        <v>393</v>
      </c>
      <c r="F432" s="392" t="s">
        <v>393</v>
      </c>
      <c r="G432" s="392" t="s">
        <v>1454</v>
      </c>
      <c r="H432" s="311" t="s">
        <v>95</v>
      </c>
      <c r="I432" s="214">
        <v>0</v>
      </c>
      <c r="J432" s="275" t="s">
        <v>1021</v>
      </c>
      <c r="K432" s="275" t="s">
        <v>1455</v>
      </c>
      <c r="L432" s="283"/>
      <c r="M432" s="283" t="s">
        <v>1132</v>
      </c>
      <c r="N432" s="283" t="s">
        <v>1331</v>
      </c>
      <c r="O432" s="409"/>
      <c r="P432" s="404"/>
      <c r="Q432" s="404">
        <v>687590</v>
      </c>
      <c r="R432" s="404">
        <v>8251080</v>
      </c>
      <c r="S432" s="404"/>
      <c r="T432" s="351"/>
      <c r="U432" s="214"/>
      <c r="V432" s="404">
        <v>8938670</v>
      </c>
      <c r="W432" s="302">
        <f t="shared" si="51"/>
        <v>10011310.4</v>
      </c>
      <c r="X432" s="231"/>
      <c r="Y432" s="135">
        <v>2014</v>
      </c>
      <c r="Z432" s="408"/>
      <c r="AD432" s="233"/>
      <c r="AE432" s="233"/>
      <c r="AF432" s="233"/>
      <c r="AG432" s="233"/>
    </row>
    <row r="433" spans="2:33" s="213" customFormat="1" ht="48" customHeight="1" x14ac:dyDescent="0.25">
      <c r="B433" s="160" t="s">
        <v>1456</v>
      </c>
      <c r="C433" s="385" t="s">
        <v>2</v>
      </c>
      <c r="D433" s="435" t="s">
        <v>539</v>
      </c>
      <c r="E433" s="435" t="s">
        <v>540</v>
      </c>
      <c r="F433" s="435" t="s">
        <v>540</v>
      </c>
      <c r="G433" s="435" t="s">
        <v>1458</v>
      </c>
      <c r="H433" s="311" t="s">
        <v>3</v>
      </c>
      <c r="I433" s="214">
        <v>100</v>
      </c>
      <c r="J433" s="275" t="s">
        <v>1019</v>
      </c>
      <c r="K433" s="275" t="s">
        <v>1098</v>
      </c>
      <c r="L433" s="283"/>
      <c r="M433" s="289" t="s">
        <v>1457</v>
      </c>
      <c r="N433" s="283" t="s">
        <v>1331</v>
      </c>
      <c r="O433" s="409"/>
      <c r="P433" s="404">
        <v>1022043.75</v>
      </c>
      <c r="Q433" s="404">
        <v>11705868.75</v>
      </c>
      <c r="R433" s="404">
        <v>12876455.630000001</v>
      </c>
      <c r="S433" s="404">
        <v>14164101.189999999</v>
      </c>
      <c r="T433" s="404">
        <v>15580511.310000001</v>
      </c>
      <c r="U433" s="434"/>
      <c r="V433" s="404">
        <v>72487543.069999993</v>
      </c>
      <c r="W433" s="302">
        <f t="shared" si="51"/>
        <v>81186048.238399997</v>
      </c>
      <c r="X433" s="231"/>
      <c r="Y433" s="135">
        <v>2014</v>
      </c>
      <c r="Z433" s="408"/>
      <c r="AD433" s="233"/>
      <c r="AE433" s="233"/>
      <c r="AF433" s="233"/>
      <c r="AG433" s="233"/>
    </row>
    <row r="434" spans="2:33" s="213" customFormat="1" ht="48" customHeight="1" x14ac:dyDescent="0.25">
      <c r="B434" s="160" t="s">
        <v>1459</v>
      </c>
      <c r="C434" s="385" t="s">
        <v>2</v>
      </c>
      <c r="D434" s="289" t="s">
        <v>533</v>
      </c>
      <c r="E434" s="289" t="s">
        <v>534</v>
      </c>
      <c r="F434" s="289" t="s">
        <v>984</v>
      </c>
      <c r="G434" s="289" t="s">
        <v>1460</v>
      </c>
      <c r="H434" s="311" t="s">
        <v>95</v>
      </c>
      <c r="I434" s="214">
        <v>100</v>
      </c>
      <c r="J434" s="275" t="s">
        <v>1021</v>
      </c>
      <c r="K434" s="275" t="s">
        <v>1098</v>
      </c>
      <c r="L434" s="283"/>
      <c r="M434" s="275" t="s">
        <v>1352</v>
      </c>
      <c r="N434" s="283" t="s">
        <v>1331</v>
      </c>
      <c r="O434" s="409"/>
      <c r="P434" s="405">
        <v>4048000</v>
      </c>
      <c r="Q434" s="405">
        <v>24288000</v>
      </c>
      <c r="R434" s="405"/>
      <c r="S434" s="405"/>
      <c r="T434" s="405"/>
      <c r="U434" s="434"/>
      <c r="V434" s="404">
        <v>28336000</v>
      </c>
      <c r="W434" s="302">
        <f t="shared" si="51"/>
        <v>31736320.000000004</v>
      </c>
      <c r="X434" s="231"/>
      <c r="Y434" s="135">
        <v>2014</v>
      </c>
      <c r="Z434" s="408"/>
      <c r="AD434" s="233"/>
      <c r="AE434" s="233"/>
      <c r="AF434" s="233"/>
      <c r="AG434" s="233"/>
    </row>
    <row r="435" spans="2:33" s="213" customFormat="1" ht="48" customHeight="1" x14ac:dyDescent="0.25">
      <c r="B435" s="160" t="s">
        <v>1461</v>
      </c>
      <c r="C435" s="385" t="s">
        <v>2</v>
      </c>
      <c r="D435" s="275" t="s">
        <v>1462</v>
      </c>
      <c r="E435" s="275" t="s">
        <v>1463</v>
      </c>
      <c r="F435" s="275" t="s">
        <v>1464</v>
      </c>
      <c r="G435" s="275" t="s">
        <v>1465</v>
      </c>
      <c r="H435" s="311" t="s">
        <v>95</v>
      </c>
      <c r="I435" s="214">
        <v>0</v>
      </c>
      <c r="J435" s="275" t="s">
        <v>1021</v>
      </c>
      <c r="K435" s="275" t="s">
        <v>1098</v>
      </c>
      <c r="L435" s="283"/>
      <c r="M435" s="275" t="s">
        <v>1352</v>
      </c>
      <c r="N435" s="283" t="s">
        <v>1331</v>
      </c>
      <c r="O435" s="409"/>
      <c r="P435" s="311">
        <f>700000*2</f>
        <v>1400000</v>
      </c>
      <c r="Q435" s="311">
        <f>700000*12</f>
        <v>8400000</v>
      </c>
      <c r="R435" s="311">
        <f>700000*12</f>
        <v>8400000</v>
      </c>
      <c r="S435" s="311">
        <f>700000*12</f>
        <v>8400000</v>
      </c>
      <c r="T435" s="325">
        <f>700000*12</f>
        <v>8400000</v>
      </c>
      <c r="U435" s="434"/>
      <c r="V435" s="404">
        <v>35000000</v>
      </c>
      <c r="W435" s="302">
        <f t="shared" ref="W435" si="53">V435*1.12</f>
        <v>39200000.000000007</v>
      </c>
      <c r="X435" s="231"/>
      <c r="Y435" s="135">
        <v>2014</v>
      </c>
      <c r="Z435" s="408"/>
      <c r="AD435" s="233"/>
      <c r="AE435" s="233"/>
      <c r="AF435" s="233"/>
      <c r="AG435" s="233"/>
    </row>
    <row r="436" spans="2:33" s="213" customFormat="1" ht="48" customHeight="1" x14ac:dyDescent="0.25">
      <c r="B436" s="160" t="s">
        <v>1466</v>
      </c>
      <c r="C436" s="385" t="s">
        <v>2</v>
      </c>
      <c r="D436" s="306" t="s">
        <v>1392</v>
      </c>
      <c r="E436" s="279" t="s">
        <v>1393</v>
      </c>
      <c r="F436" s="279" t="s">
        <v>1393</v>
      </c>
      <c r="G436" s="430" t="s">
        <v>1467</v>
      </c>
      <c r="H436" s="436" t="s">
        <v>3</v>
      </c>
      <c r="I436" s="214">
        <v>100</v>
      </c>
      <c r="J436" s="275" t="s">
        <v>1019</v>
      </c>
      <c r="K436" s="275" t="s">
        <v>1468</v>
      </c>
      <c r="L436" s="283"/>
      <c r="M436" s="279" t="s">
        <v>1469</v>
      </c>
      <c r="N436" s="283" t="s">
        <v>1331</v>
      </c>
      <c r="O436" s="409"/>
      <c r="P436" s="437">
        <v>65750</v>
      </c>
      <c r="Q436" s="437">
        <v>789000</v>
      </c>
      <c r="R436" s="311"/>
      <c r="S436" s="311"/>
      <c r="T436" s="325"/>
      <c r="U436" s="434"/>
      <c r="V436" s="404">
        <v>854750</v>
      </c>
      <c r="W436" s="302">
        <f t="shared" ref="W436:W442" si="54">V436*1.12</f>
        <v>957320.00000000012</v>
      </c>
      <c r="X436" s="231"/>
      <c r="Y436" s="135">
        <v>2014</v>
      </c>
      <c r="Z436" s="408"/>
      <c r="AD436" s="233"/>
      <c r="AE436" s="233"/>
      <c r="AF436" s="233"/>
      <c r="AG436" s="233"/>
    </row>
    <row r="437" spans="2:33" s="213" customFormat="1" ht="48" customHeight="1" x14ac:dyDescent="0.25">
      <c r="B437" s="160" t="s">
        <v>1470</v>
      </c>
      <c r="C437" s="385" t="s">
        <v>2</v>
      </c>
      <c r="D437" s="222" t="s">
        <v>1472</v>
      </c>
      <c r="E437" s="344" t="s">
        <v>1473</v>
      </c>
      <c r="F437" s="344" t="s">
        <v>1473</v>
      </c>
      <c r="G437" s="344" t="s">
        <v>1473</v>
      </c>
      <c r="H437" s="436" t="s">
        <v>3</v>
      </c>
      <c r="I437" s="214">
        <v>100</v>
      </c>
      <c r="J437" s="275" t="s">
        <v>537</v>
      </c>
      <c r="K437" s="275" t="s">
        <v>469</v>
      </c>
      <c r="L437" s="283"/>
      <c r="M437" s="283" t="s">
        <v>1132</v>
      </c>
      <c r="N437" s="283" t="s">
        <v>1331</v>
      </c>
      <c r="O437" s="409"/>
      <c r="P437" s="437"/>
      <c r="Q437" s="437">
        <v>13500000</v>
      </c>
      <c r="R437" s="437">
        <v>13500000</v>
      </c>
      <c r="S437" s="437">
        <v>13500000</v>
      </c>
      <c r="T437" s="325"/>
      <c r="U437" s="434"/>
      <c r="V437" s="404">
        <v>40500000</v>
      </c>
      <c r="W437" s="302">
        <f t="shared" si="54"/>
        <v>45360000.000000007</v>
      </c>
      <c r="X437" s="231"/>
      <c r="Y437" s="135">
        <v>2015</v>
      </c>
      <c r="Z437" s="408"/>
      <c r="AD437" s="233"/>
      <c r="AE437" s="233"/>
      <c r="AF437" s="233"/>
      <c r="AG437" s="233"/>
    </row>
    <row r="438" spans="2:33" s="213" customFormat="1" ht="48" customHeight="1" x14ac:dyDescent="0.25">
      <c r="B438" s="160" t="s">
        <v>1471</v>
      </c>
      <c r="C438" s="385" t="s">
        <v>2</v>
      </c>
      <c r="D438" s="287" t="s">
        <v>1474</v>
      </c>
      <c r="E438" s="287" t="s">
        <v>1475</v>
      </c>
      <c r="F438" s="287" t="s">
        <v>1475</v>
      </c>
      <c r="G438" s="287" t="s">
        <v>1476</v>
      </c>
      <c r="H438" s="436" t="s">
        <v>617</v>
      </c>
      <c r="I438" s="214">
        <v>100</v>
      </c>
      <c r="J438" s="275" t="s">
        <v>1019</v>
      </c>
      <c r="K438" s="275" t="s">
        <v>1098</v>
      </c>
      <c r="L438" s="283"/>
      <c r="M438" s="283" t="s">
        <v>1132</v>
      </c>
      <c r="N438" s="283" t="s">
        <v>1331</v>
      </c>
      <c r="O438" s="409"/>
      <c r="P438" s="437"/>
      <c r="Q438" s="437">
        <v>200000</v>
      </c>
      <c r="R438" s="437">
        <v>200000</v>
      </c>
      <c r="S438" s="437">
        <v>200000</v>
      </c>
      <c r="T438" s="325"/>
      <c r="U438" s="434"/>
      <c r="V438" s="438">
        <v>0</v>
      </c>
      <c r="W438" s="302">
        <f t="shared" si="54"/>
        <v>0</v>
      </c>
      <c r="X438" s="231"/>
      <c r="Y438" s="135">
        <v>2014</v>
      </c>
      <c r="Z438" s="408" t="s">
        <v>996</v>
      </c>
      <c r="AD438" s="233"/>
      <c r="AE438" s="233"/>
      <c r="AF438" s="233"/>
      <c r="AG438" s="233"/>
    </row>
    <row r="439" spans="2:33" s="213" customFormat="1" ht="48" customHeight="1" x14ac:dyDescent="0.25">
      <c r="B439" s="160" t="s">
        <v>1477</v>
      </c>
      <c r="C439" s="385" t="s">
        <v>2</v>
      </c>
      <c r="D439" s="287" t="s">
        <v>935</v>
      </c>
      <c r="E439" s="287" t="s">
        <v>413</v>
      </c>
      <c r="F439" s="287" t="s">
        <v>413</v>
      </c>
      <c r="G439" s="287" t="s">
        <v>1481</v>
      </c>
      <c r="H439" s="436" t="s">
        <v>95</v>
      </c>
      <c r="I439" s="214">
        <v>0</v>
      </c>
      <c r="J439" s="275" t="s">
        <v>1020</v>
      </c>
      <c r="K439" s="440" t="s">
        <v>1390</v>
      </c>
      <c r="L439" s="283"/>
      <c r="M439" s="283" t="s">
        <v>1132</v>
      </c>
      <c r="N439" s="283" t="s">
        <v>1331</v>
      </c>
      <c r="O439" s="409"/>
      <c r="P439" s="437"/>
      <c r="Q439" s="437">
        <v>500000</v>
      </c>
      <c r="R439" s="437">
        <v>500000</v>
      </c>
      <c r="S439" s="437"/>
      <c r="T439" s="325"/>
      <c r="U439" s="434"/>
      <c r="V439" s="438">
        <v>1000000</v>
      </c>
      <c r="W439" s="302">
        <f t="shared" si="54"/>
        <v>1120000</v>
      </c>
      <c r="X439" s="231"/>
      <c r="Y439" s="135">
        <v>2014</v>
      </c>
      <c r="Z439" s="408"/>
      <c r="AD439" s="233"/>
      <c r="AE439" s="233"/>
      <c r="AF439" s="233"/>
      <c r="AG439" s="233"/>
    </row>
    <row r="440" spans="2:33" s="213" customFormat="1" ht="48" customHeight="1" x14ac:dyDescent="0.25">
      <c r="B440" s="160" t="s">
        <v>1478</v>
      </c>
      <c r="C440" s="385" t="s">
        <v>2</v>
      </c>
      <c r="D440" s="321" t="s">
        <v>498</v>
      </c>
      <c r="E440" s="321" t="s">
        <v>499</v>
      </c>
      <c r="F440" s="279" t="s">
        <v>500</v>
      </c>
      <c r="G440" s="279" t="s">
        <v>1479</v>
      </c>
      <c r="H440" s="436" t="s">
        <v>95</v>
      </c>
      <c r="I440" s="214">
        <v>0</v>
      </c>
      <c r="J440" s="275" t="s">
        <v>1020</v>
      </c>
      <c r="K440" s="275" t="s">
        <v>1098</v>
      </c>
      <c r="L440" s="283"/>
      <c r="M440" s="406" t="s">
        <v>1480</v>
      </c>
      <c r="N440" s="283" t="s">
        <v>1331</v>
      </c>
      <c r="O440" s="409"/>
      <c r="P440" s="437"/>
      <c r="Q440" s="439">
        <v>15991400</v>
      </c>
      <c r="R440" s="439">
        <v>15991400</v>
      </c>
      <c r="S440" s="437"/>
      <c r="T440" s="325"/>
      <c r="U440" s="434"/>
      <c r="V440" s="438">
        <v>31982800</v>
      </c>
      <c r="W440" s="302">
        <f t="shared" si="54"/>
        <v>35820736</v>
      </c>
      <c r="X440" s="231"/>
      <c r="Y440" s="135">
        <v>2014</v>
      </c>
      <c r="Z440" s="408"/>
      <c r="AD440" s="233"/>
      <c r="AE440" s="233"/>
      <c r="AF440" s="233"/>
      <c r="AG440" s="233"/>
    </row>
    <row r="441" spans="2:33" s="213" customFormat="1" ht="48" customHeight="1" x14ac:dyDescent="0.25">
      <c r="B441" s="160" t="s">
        <v>1491</v>
      </c>
      <c r="C441" s="385" t="s">
        <v>2</v>
      </c>
      <c r="D441" s="287" t="s">
        <v>1492</v>
      </c>
      <c r="E441" s="287" t="s">
        <v>1493</v>
      </c>
      <c r="F441" s="287" t="s">
        <v>1493</v>
      </c>
      <c r="G441" s="287" t="s">
        <v>1494</v>
      </c>
      <c r="H441" s="287" t="s">
        <v>3</v>
      </c>
      <c r="I441" s="214">
        <v>100</v>
      </c>
      <c r="J441" s="275" t="s">
        <v>1020</v>
      </c>
      <c r="K441" s="275" t="s">
        <v>1098</v>
      </c>
      <c r="L441" s="283"/>
      <c r="M441" s="406" t="s">
        <v>1495</v>
      </c>
      <c r="N441" s="283" t="s">
        <v>1331</v>
      </c>
      <c r="O441" s="409"/>
      <c r="P441" s="437"/>
      <c r="Q441" s="439">
        <v>9990000</v>
      </c>
      <c r="R441" s="439">
        <v>9990000</v>
      </c>
      <c r="S441" s="439">
        <v>9990000</v>
      </c>
      <c r="T441" s="325"/>
      <c r="U441" s="434"/>
      <c r="V441" s="438">
        <v>0</v>
      </c>
      <c r="W441" s="302">
        <f t="shared" si="54"/>
        <v>0</v>
      </c>
      <c r="X441" s="231"/>
      <c r="Y441" s="135">
        <v>2014</v>
      </c>
      <c r="Z441" s="408" t="s">
        <v>996</v>
      </c>
      <c r="AD441" s="233"/>
      <c r="AE441" s="233"/>
      <c r="AF441" s="233"/>
      <c r="AG441" s="233"/>
    </row>
    <row r="442" spans="2:33" s="213" customFormat="1" ht="48" customHeight="1" x14ac:dyDescent="0.25">
      <c r="B442" s="160" t="s">
        <v>1496</v>
      </c>
      <c r="C442" s="385" t="s">
        <v>2</v>
      </c>
      <c r="D442" s="287" t="s">
        <v>392</v>
      </c>
      <c r="E442" s="287" t="s">
        <v>393</v>
      </c>
      <c r="F442" s="287" t="s">
        <v>393</v>
      </c>
      <c r="G442" s="287" t="s">
        <v>1497</v>
      </c>
      <c r="H442" s="436" t="s">
        <v>95</v>
      </c>
      <c r="I442" s="214">
        <v>0</v>
      </c>
      <c r="J442" s="275" t="s">
        <v>1020</v>
      </c>
      <c r="K442" s="275" t="s">
        <v>395</v>
      </c>
      <c r="L442" s="283"/>
      <c r="M442" s="283" t="s">
        <v>1132</v>
      </c>
      <c r="N442" s="283" t="s">
        <v>1331</v>
      </c>
      <c r="O442" s="409"/>
      <c r="P442" s="439">
        <v>4379712</v>
      </c>
      <c r="Q442" s="439">
        <v>17518848</v>
      </c>
      <c r="R442" s="439"/>
      <c r="S442" s="439"/>
      <c r="T442" s="325"/>
      <c r="U442" s="434"/>
      <c r="V442" s="438">
        <v>21898560</v>
      </c>
      <c r="W442" s="302">
        <f t="shared" si="54"/>
        <v>24526387.200000003</v>
      </c>
      <c r="X442" s="231"/>
      <c r="Y442" s="135">
        <v>2014</v>
      </c>
      <c r="Z442" s="408"/>
      <c r="AD442" s="233"/>
      <c r="AE442" s="233"/>
      <c r="AF442" s="233"/>
      <c r="AG442" s="233"/>
    </row>
    <row r="443" spans="2:33" s="213" customFormat="1" ht="48" customHeight="1" x14ac:dyDescent="0.25">
      <c r="B443" s="160" t="s">
        <v>1498</v>
      </c>
      <c r="C443" s="385" t="s">
        <v>2</v>
      </c>
      <c r="D443" s="287" t="s">
        <v>392</v>
      </c>
      <c r="E443" s="287" t="s">
        <v>393</v>
      </c>
      <c r="F443" s="287" t="s">
        <v>393</v>
      </c>
      <c r="G443" s="287" t="s">
        <v>1497</v>
      </c>
      <c r="H443" s="436" t="s">
        <v>95</v>
      </c>
      <c r="I443" s="214">
        <v>0</v>
      </c>
      <c r="J443" s="275" t="s">
        <v>1020</v>
      </c>
      <c r="K443" s="275" t="s">
        <v>395</v>
      </c>
      <c r="L443" s="283"/>
      <c r="M443" s="283" t="s">
        <v>1132</v>
      </c>
      <c r="N443" s="283" t="s">
        <v>1331</v>
      </c>
      <c r="O443" s="409"/>
      <c r="P443" s="439">
        <v>1400000</v>
      </c>
      <c r="Q443" s="439">
        <v>5600000</v>
      </c>
      <c r="R443" s="439"/>
      <c r="S443" s="439"/>
      <c r="T443" s="325"/>
      <c r="U443" s="434"/>
      <c r="V443" s="438">
        <v>7000000</v>
      </c>
      <c r="W443" s="302">
        <f t="shared" ref="W443:W444" si="55">V443*1.12</f>
        <v>7840000.0000000009</v>
      </c>
      <c r="X443" s="231"/>
      <c r="Y443" s="135">
        <v>2014</v>
      </c>
      <c r="Z443" s="408"/>
      <c r="AD443" s="233"/>
      <c r="AE443" s="233"/>
      <c r="AF443" s="233"/>
      <c r="AG443" s="233"/>
    </row>
    <row r="444" spans="2:33" s="213" customFormat="1" ht="48" customHeight="1" x14ac:dyDescent="0.25">
      <c r="B444" s="160" t="s">
        <v>1499</v>
      </c>
      <c r="C444" s="385" t="s">
        <v>2</v>
      </c>
      <c r="D444" s="442" t="s">
        <v>935</v>
      </c>
      <c r="E444" s="442" t="s">
        <v>413</v>
      </c>
      <c r="F444" s="442" t="s">
        <v>413</v>
      </c>
      <c r="G444" s="442" t="s">
        <v>1500</v>
      </c>
      <c r="H444" s="436" t="s">
        <v>95</v>
      </c>
      <c r="I444" s="214">
        <v>0</v>
      </c>
      <c r="J444" s="275" t="s">
        <v>1020</v>
      </c>
      <c r="K444" s="289" t="s">
        <v>1501</v>
      </c>
      <c r="L444" s="283"/>
      <c r="M444" s="386" t="s">
        <v>1132</v>
      </c>
      <c r="N444" s="283" t="s">
        <v>1331</v>
      </c>
      <c r="O444" s="409"/>
      <c r="P444" s="439">
        <v>14000</v>
      </c>
      <c r="Q444" s="439">
        <v>170000</v>
      </c>
      <c r="R444" s="439">
        <v>170000</v>
      </c>
      <c r="S444" s="439"/>
      <c r="T444" s="325"/>
      <c r="U444" s="434"/>
      <c r="V444" s="443">
        <v>354000</v>
      </c>
      <c r="W444" s="302">
        <f t="shared" si="55"/>
        <v>396480.00000000006</v>
      </c>
      <c r="X444" s="231"/>
      <c r="Y444" s="135">
        <v>2014</v>
      </c>
      <c r="Z444" s="408"/>
      <c r="AD444" s="233"/>
      <c r="AE444" s="233"/>
      <c r="AF444" s="233"/>
      <c r="AG444" s="233"/>
    </row>
    <row r="445" spans="2:33" s="213" customFormat="1" ht="48" customHeight="1" x14ac:dyDescent="0.25">
      <c r="B445" s="160" t="s">
        <v>1502</v>
      </c>
      <c r="C445" s="385" t="s">
        <v>2</v>
      </c>
      <c r="D445" s="275" t="s">
        <v>229</v>
      </c>
      <c r="E445" s="275" t="s">
        <v>230</v>
      </c>
      <c r="F445" s="275" t="s">
        <v>230</v>
      </c>
      <c r="G445" s="275" t="s">
        <v>1503</v>
      </c>
      <c r="H445" s="436" t="s">
        <v>95</v>
      </c>
      <c r="I445" s="214">
        <v>0</v>
      </c>
      <c r="J445" s="289" t="s">
        <v>1020</v>
      </c>
      <c r="K445" s="275" t="s">
        <v>235</v>
      </c>
      <c r="L445" s="283"/>
      <c r="M445" s="275" t="s">
        <v>236</v>
      </c>
      <c r="N445" s="283" t="s">
        <v>1331</v>
      </c>
      <c r="O445" s="409"/>
      <c r="P445" s="439"/>
      <c r="Q445" s="439">
        <v>611111111.10000002</v>
      </c>
      <c r="R445" s="439">
        <v>733333333.31999993</v>
      </c>
      <c r="S445" s="439">
        <v>733333333.31999993</v>
      </c>
      <c r="T445" s="325">
        <v>122222222.26000001</v>
      </c>
      <c r="U445" s="434"/>
      <c r="V445" s="311">
        <f>SUM(P445:T445)</f>
        <v>2200000000</v>
      </c>
      <c r="W445" s="302">
        <f t="shared" ref="W445:W468" si="56">V445*1.12</f>
        <v>2464000000</v>
      </c>
      <c r="X445" s="231"/>
      <c r="Y445" s="135">
        <v>2014</v>
      </c>
      <c r="Z445" s="408"/>
      <c r="AD445" s="233"/>
      <c r="AE445" s="233"/>
      <c r="AF445" s="233"/>
      <c r="AG445" s="233"/>
    </row>
    <row r="446" spans="2:33" s="213" customFormat="1" ht="48" customHeight="1" x14ac:dyDescent="0.25">
      <c r="B446" s="160" t="s">
        <v>1507</v>
      </c>
      <c r="C446" s="385" t="s">
        <v>2</v>
      </c>
      <c r="D446" s="275" t="s">
        <v>418</v>
      </c>
      <c r="E446" s="275" t="s">
        <v>419</v>
      </c>
      <c r="F446" s="275" t="s">
        <v>419</v>
      </c>
      <c r="G446" s="275" t="s">
        <v>1508</v>
      </c>
      <c r="H446" s="436" t="s">
        <v>95</v>
      </c>
      <c r="I446" s="445">
        <v>0</v>
      </c>
      <c r="J446" s="289" t="s">
        <v>1020</v>
      </c>
      <c r="K446" s="289" t="s">
        <v>1509</v>
      </c>
      <c r="L446" s="386"/>
      <c r="M446" s="386" t="s">
        <v>1132</v>
      </c>
      <c r="N446" s="386" t="s">
        <v>1331</v>
      </c>
      <c r="O446" s="444"/>
      <c r="P446" s="446">
        <v>124960</v>
      </c>
      <c r="Q446" s="446">
        <v>999680</v>
      </c>
      <c r="R446" s="446">
        <v>999680</v>
      </c>
      <c r="S446" s="446">
        <v>999680</v>
      </c>
      <c r="T446" s="325"/>
      <c r="U446" s="434"/>
      <c r="V446" s="311">
        <v>3124000</v>
      </c>
      <c r="W446" s="302">
        <f t="shared" si="56"/>
        <v>3498880.0000000005</v>
      </c>
      <c r="X446" s="231"/>
      <c r="Y446" s="135">
        <v>2014</v>
      </c>
      <c r="Z446" s="408"/>
      <c r="AD446" s="233"/>
      <c r="AE446" s="233"/>
      <c r="AF446" s="233"/>
      <c r="AG446" s="233"/>
    </row>
    <row r="447" spans="2:33" s="213" customFormat="1" ht="48" customHeight="1" x14ac:dyDescent="0.25">
      <c r="B447" s="160" t="s">
        <v>1510</v>
      </c>
      <c r="C447" s="385" t="s">
        <v>2</v>
      </c>
      <c r="D447" s="275" t="s">
        <v>412</v>
      </c>
      <c r="E447" s="275" t="s">
        <v>413</v>
      </c>
      <c r="F447" s="275" t="s">
        <v>413</v>
      </c>
      <c r="G447" s="275" t="s">
        <v>1511</v>
      </c>
      <c r="H447" s="436" t="s">
        <v>95</v>
      </c>
      <c r="I447" s="214">
        <v>0</v>
      </c>
      <c r="J447" s="275" t="s">
        <v>1020</v>
      </c>
      <c r="K447" s="289" t="s">
        <v>1328</v>
      </c>
      <c r="L447" s="283"/>
      <c r="M447" s="386" t="s">
        <v>1132</v>
      </c>
      <c r="N447" s="386" t="s">
        <v>1331</v>
      </c>
      <c r="O447" s="409"/>
      <c r="P447" s="439">
        <v>9813500</v>
      </c>
      <c r="Q447" s="439">
        <v>112855250</v>
      </c>
      <c r="R447" s="439">
        <v>112855250</v>
      </c>
      <c r="S447" s="439"/>
      <c r="T447" s="325"/>
      <c r="U447" s="434"/>
      <c r="V447" s="311">
        <v>235524000</v>
      </c>
      <c r="W447" s="302">
        <f t="shared" si="56"/>
        <v>263786880.00000003</v>
      </c>
      <c r="X447" s="231"/>
      <c r="Y447" s="135">
        <v>2014</v>
      </c>
      <c r="Z447" s="408"/>
      <c r="AD447" s="233"/>
      <c r="AE447" s="233"/>
      <c r="AF447" s="233"/>
      <c r="AG447" s="233"/>
    </row>
    <row r="448" spans="2:33" s="213" customFormat="1" ht="48" customHeight="1" x14ac:dyDescent="0.25">
      <c r="B448" s="160" t="s">
        <v>1512</v>
      </c>
      <c r="C448" s="385" t="s">
        <v>2</v>
      </c>
      <c r="D448" s="275" t="s">
        <v>489</v>
      </c>
      <c r="E448" s="275" t="s">
        <v>1300</v>
      </c>
      <c r="F448" s="275" t="s">
        <v>1301</v>
      </c>
      <c r="G448" s="289" t="s">
        <v>1517</v>
      </c>
      <c r="H448" s="436" t="s">
        <v>95</v>
      </c>
      <c r="I448" s="214">
        <v>0</v>
      </c>
      <c r="J448" s="275" t="s">
        <v>1020</v>
      </c>
      <c r="K448" s="440" t="s">
        <v>1390</v>
      </c>
      <c r="L448" s="283"/>
      <c r="M448" s="283" t="s">
        <v>1132</v>
      </c>
      <c r="N448" s="283" t="s">
        <v>1331</v>
      </c>
      <c r="O448" s="409"/>
      <c r="P448" s="439">
        <v>925000</v>
      </c>
      <c r="Q448" s="439">
        <v>12950000</v>
      </c>
      <c r="R448" s="439">
        <v>12950000</v>
      </c>
      <c r="S448" s="439"/>
      <c r="T448" s="325"/>
      <c r="U448" s="434"/>
      <c r="V448" s="311">
        <v>26825000</v>
      </c>
      <c r="W448" s="302">
        <f t="shared" si="56"/>
        <v>30044000.000000004</v>
      </c>
      <c r="X448" s="231"/>
      <c r="Y448" s="135">
        <v>2014</v>
      </c>
      <c r="Z448" s="408"/>
      <c r="AD448" s="233"/>
      <c r="AE448" s="233"/>
      <c r="AF448" s="233"/>
      <c r="AG448" s="233"/>
    </row>
    <row r="449" spans="2:33" s="213" customFormat="1" ht="48" customHeight="1" x14ac:dyDescent="0.25">
      <c r="B449" s="160" t="s">
        <v>1513</v>
      </c>
      <c r="C449" s="385" t="s">
        <v>2</v>
      </c>
      <c r="D449" s="275" t="s">
        <v>1492</v>
      </c>
      <c r="E449" s="275" t="s">
        <v>1493</v>
      </c>
      <c r="F449" s="275" t="s">
        <v>1493</v>
      </c>
      <c r="G449" s="275" t="s">
        <v>1518</v>
      </c>
      <c r="H449" s="436" t="s">
        <v>3</v>
      </c>
      <c r="I449" s="214">
        <v>100</v>
      </c>
      <c r="J449" s="275" t="s">
        <v>1020</v>
      </c>
      <c r="K449" s="275" t="s">
        <v>1098</v>
      </c>
      <c r="L449" s="283"/>
      <c r="M449" s="283" t="s">
        <v>1522</v>
      </c>
      <c r="N449" s="283" t="s">
        <v>1331</v>
      </c>
      <c r="O449" s="409"/>
      <c r="P449" s="439">
        <f t="shared" ref="P449:R452" si="57">9990000/4</f>
        <v>2497500</v>
      </c>
      <c r="Q449" s="439">
        <f t="shared" si="57"/>
        <v>2497500</v>
      </c>
      <c r="R449" s="439">
        <f t="shared" si="57"/>
        <v>2497500</v>
      </c>
      <c r="S449" s="439"/>
      <c r="T449" s="325"/>
      <c r="U449" s="434"/>
      <c r="V449" s="311">
        <v>7492500</v>
      </c>
      <c r="W449" s="302">
        <f t="shared" si="56"/>
        <v>8391600</v>
      </c>
      <c r="X449" s="231"/>
      <c r="Y449" s="135">
        <v>2014</v>
      </c>
      <c r="Z449" s="408"/>
      <c r="AD449" s="233"/>
      <c r="AE449" s="233"/>
      <c r="AF449" s="233"/>
      <c r="AG449" s="233"/>
    </row>
    <row r="450" spans="2:33" s="213" customFormat="1" ht="48" customHeight="1" x14ac:dyDescent="0.25">
      <c r="B450" s="160" t="s">
        <v>1514</v>
      </c>
      <c r="C450" s="385" t="s">
        <v>2</v>
      </c>
      <c r="D450" s="275" t="s">
        <v>1492</v>
      </c>
      <c r="E450" s="275" t="s">
        <v>1493</v>
      </c>
      <c r="F450" s="275" t="s">
        <v>1493</v>
      </c>
      <c r="G450" s="275" t="s">
        <v>1519</v>
      </c>
      <c r="H450" s="436" t="s">
        <v>3</v>
      </c>
      <c r="I450" s="214">
        <v>100</v>
      </c>
      <c r="J450" s="275" t="s">
        <v>1020</v>
      </c>
      <c r="K450" s="275" t="s">
        <v>1098</v>
      </c>
      <c r="L450" s="283"/>
      <c r="M450" s="283" t="s">
        <v>1522</v>
      </c>
      <c r="N450" s="283" t="s">
        <v>1331</v>
      </c>
      <c r="O450" s="409"/>
      <c r="P450" s="439">
        <f t="shared" si="57"/>
        <v>2497500</v>
      </c>
      <c r="Q450" s="439">
        <f t="shared" si="57"/>
        <v>2497500</v>
      </c>
      <c r="R450" s="439">
        <f t="shared" si="57"/>
        <v>2497500</v>
      </c>
      <c r="S450" s="439"/>
      <c r="T450" s="325"/>
      <c r="U450" s="434"/>
      <c r="V450" s="311">
        <v>7492500</v>
      </c>
      <c r="W450" s="302">
        <f t="shared" si="56"/>
        <v>8391600</v>
      </c>
      <c r="X450" s="231"/>
      <c r="Y450" s="135">
        <v>2014</v>
      </c>
      <c r="Z450" s="408"/>
      <c r="AD450" s="233"/>
      <c r="AE450" s="233"/>
      <c r="AF450" s="233"/>
      <c r="AG450" s="233"/>
    </row>
    <row r="451" spans="2:33" s="213" customFormat="1" ht="48" customHeight="1" x14ac:dyDescent="0.25">
      <c r="B451" s="160" t="s">
        <v>1515</v>
      </c>
      <c r="C451" s="385" t="s">
        <v>2</v>
      </c>
      <c r="D451" s="275" t="s">
        <v>1492</v>
      </c>
      <c r="E451" s="275" t="s">
        <v>1493</v>
      </c>
      <c r="F451" s="275" t="s">
        <v>1493</v>
      </c>
      <c r="G451" s="275" t="s">
        <v>1520</v>
      </c>
      <c r="H451" s="436" t="s">
        <v>3</v>
      </c>
      <c r="I451" s="214">
        <v>100</v>
      </c>
      <c r="J451" s="275" t="s">
        <v>1020</v>
      </c>
      <c r="K451" s="275" t="s">
        <v>1098</v>
      </c>
      <c r="L451" s="283"/>
      <c r="M451" s="283" t="s">
        <v>1522</v>
      </c>
      <c r="N451" s="283" t="s">
        <v>1331</v>
      </c>
      <c r="O451" s="409"/>
      <c r="P451" s="439">
        <f t="shared" si="57"/>
        <v>2497500</v>
      </c>
      <c r="Q451" s="439">
        <f t="shared" si="57"/>
        <v>2497500</v>
      </c>
      <c r="R451" s="439">
        <f t="shared" si="57"/>
        <v>2497500</v>
      </c>
      <c r="S451" s="439"/>
      <c r="T451" s="325"/>
      <c r="U451" s="434"/>
      <c r="V451" s="311">
        <v>7492500</v>
      </c>
      <c r="W451" s="302">
        <f t="shared" si="56"/>
        <v>8391600</v>
      </c>
      <c r="X451" s="231"/>
      <c r="Y451" s="135">
        <v>2014</v>
      </c>
      <c r="Z451" s="408"/>
      <c r="AD451" s="233"/>
      <c r="AE451" s="233"/>
      <c r="AF451" s="233"/>
      <c r="AG451" s="233"/>
    </row>
    <row r="452" spans="2:33" s="213" customFormat="1" ht="48" customHeight="1" x14ac:dyDescent="0.25">
      <c r="B452" s="160" t="s">
        <v>1516</v>
      </c>
      <c r="C452" s="385" t="s">
        <v>2</v>
      </c>
      <c r="D452" s="275" t="s">
        <v>1492</v>
      </c>
      <c r="E452" s="275" t="s">
        <v>1493</v>
      </c>
      <c r="F452" s="275" t="s">
        <v>1493</v>
      </c>
      <c r="G452" s="275" t="s">
        <v>1521</v>
      </c>
      <c r="H452" s="436" t="s">
        <v>3</v>
      </c>
      <c r="I452" s="214">
        <v>100</v>
      </c>
      <c r="J452" s="275" t="s">
        <v>1020</v>
      </c>
      <c r="K452" s="275" t="s">
        <v>1098</v>
      </c>
      <c r="L452" s="283"/>
      <c r="M452" s="283" t="s">
        <v>1495</v>
      </c>
      <c r="N452" s="283" t="s">
        <v>1331</v>
      </c>
      <c r="O452" s="409"/>
      <c r="P452" s="439">
        <f t="shared" si="57"/>
        <v>2497500</v>
      </c>
      <c r="Q452" s="439">
        <f t="shared" si="57"/>
        <v>2497500</v>
      </c>
      <c r="R452" s="439">
        <f t="shared" si="57"/>
        <v>2497500</v>
      </c>
      <c r="S452" s="439"/>
      <c r="T452" s="325"/>
      <c r="U452" s="434"/>
      <c r="V452" s="311">
        <v>7492500</v>
      </c>
      <c r="W452" s="302">
        <f t="shared" si="56"/>
        <v>8391600</v>
      </c>
      <c r="X452" s="231"/>
      <c r="Y452" s="135">
        <v>2014</v>
      </c>
      <c r="Z452" s="408"/>
      <c r="AD452" s="233"/>
      <c r="AE452" s="233"/>
      <c r="AF452" s="233"/>
      <c r="AG452" s="233"/>
    </row>
    <row r="453" spans="2:33" s="213" customFormat="1" ht="48" customHeight="1" x14ac:dyDescent="0.25">
      <c r="B453" s="160" t="s">
        <v>1526</v>
      </c>
      <c r="C453" s="385" t="s">
        <v>2</v>
      </c>
      <c r="D453" s="275" t="s">
        <v>498</v>
      </c>
      <c r="E453" s="275" t="s">
        <v>499</v>
      </c>
      <c r="F453" s="275" t="s">
        <v>500</v>
      </c>
      <c r="G453" s="275" t="s">
        <v>1528</v>
      </c>
      <c r="H453" s="436" t="s">
        <v>3</v>
      </c>
      <c r="I453" s="214">
        <v>0</v>
      </c>
      <c r="J453" s="275" t="s">
        <v>1069</v>
      </c>
      <c r="K453" s="275" t="s">
        <v>1529</v>
      </c>
      <c r="L453" s="283"/>
      <c r="M453" s="283" t="s">
        <v>1554</v>
      </c>
      <c r="N453" s="283" t="s">
        <v>1331</v>
      </c>
      <c r="O453" s="409"/>
      <c r="P453" s="232"/>
      <c r="Q453" s="439">
        <v>203746666.66999999</v>
      </c>
      <c r="R453" s="439">
        <v>203746666.66999999</v>
      </c>
      <c r="S453" s="439">
        <v>203746666.66999999</v>
      </c>
      <c r="T453" s="325"/>
      <c r="U453" s="434"/>
      <c r="V453" s="311">
        <v>611240000.00999999</v>
      </c>
      <c r="W453" s="302">
        <f t="shared" si="56"/>
        <v>684588800.01120007</v>
      </c>
      <c r="X453" s="231"/>
      <c r="Y453" s="135">
        <v>2014</v>
      </c>
      <c r="Z453" s="408"/>
      <c r="AD453" s="233"/>
      <c r="AE453" s="233"/>
      <c r="AF453" s="233"/>
      <c r="AG453" s="233"/>
    </row>
    <row r="454" spans="2:33" s="213" customFormat="1" ht="48" customHeight="1" x14ac:dyDescent="0.25">
      <c r="B454" s="160" t="s">
        <v>1527</v>
      </c>
      <c r="C454" s="385" t="s">
        <v>2</v>
      </c>
      <c r="D454" s="275" t="s">
        <v>498</v>
      </c>
      <c r="E454" s="275" t="s">
        <v>499</v>
      </c>
      <c r="F454" s="275" t="s">
        <v>500</v>
      </c>
      <c r="G454" s="275" t="s">
        <v>1528</v>
      </c>
      <c r="H454" s="436" t="s">
        <v>3</v>
      </c>
      <c r="I454" s="214">
        <v>0</v>
      </c>
      <c r="J454" s="275" t="s">
        <v>1069</v>
      </c>
      <c r="K454" s="275" t="s">
        <v>1530</v>
      </c>
      <c r="L454" s="283"/>
      <c r="M454" s="283" t="s">
        <v>1554</v>
      </c>
      <c r="N454" s="283" t="s">
        <v>1331</v>
      </c>
      <c r="O454" s="409"/>
      <c r="P454" s="232"/>
      <c r="Q454" s="439">
        <v>203746666.66999999</v>
      </c>
      <c r="R454" s="439">
        <v>203746666.66999999</v>
      </c>
      <c r="S454" s="439">
        <v>203746666.66999999</v>
      </c>
      <c r="T454" s="325"/>
      <c r="U454" s="434"/>
      <c r="V454" s="311">
        <v>611240000.00999999</v>
      </c>
      <c r="W454" s="302">
        <f t="shared" si="56"/>
        <v>684588800.01120007</v>
      </c>
      <c r="X454" s="231"/>
      <c r="Y454" s="135">
        <v>2014</v>
      </c>
      <c r="Z454" s="408"/>
      <c r="AD454" s="233"/>
      <c r="AE454" s="233"/>
      <c r="AF454" s="233"/>
      <c r="AG454" s="233"/>
    </row>
    <row r="455" spans="2:33" s="213" customFormat="1" ht="48" customHeight="1" x14ac:dyDescent="0.25">
      <c r="B455" s="160" t="s">
        <v>1531</v>
      </c>
      <c r="C455" s="385" t="s">
        <v>2</v>
      </c>
      <c r="D455" s="275" t="s">
        <v>1535</v>
      </c>
      <c r="E455" s="275" t="s">
        <v>1536</v>
      </c>
      <c r="F455" s="275" t="s">
        <v>1536</v>
      </c>
      <c r="G455" s="275" t="s">
        <v>1537</v>
      </c>
      <c r="H455" s="436" t="s">
        <v>95</v>
      </c>
      <c r="I455" s="214">
        <v>0</v>
      </c>
      <c r="J455" s="275" t="s">
        <v>1540</v>
      </c>
      <c r="K455" s="275" t="s">
        <v>1098</v>
      </c>
      <c r="L455" s="283"/>
      <c r="M455" s="283" t="s">
        <v>58</v>
      </c>
      <c r="N455" s="283" t="s">
        <v>1331</v>
      </c>
      <c r="O455" s="409"/>
      <c r="P455" s="232"/>
      <c r="Q455" s="439">
        <f>4500*300</f>
        <v>1350000</v>
      </c>
      <c r="R455" s="439">
        <f>4500*300</f>
        <v>1350000</v>
      </c>
      <c r="S455" s="439">
        <f>4500*300</f>
        <v>1350000</v>
      </c>
      <c r="T455" s="325"/>
      <c r="U455" s="434"/>
      <c r="V455" s="311">
        <v>0</v>
      </c>
      <c r="W455" s="302">
        <f t="shared" si="56"/>
        <v>0</v>
      </c>
      <c r="X455" s="231"/>
      <c r="Y455" s="135">
        <v>2014</v>
      </c>
      <c r="Z455" s="408" t="s">
        <v>996</v>
      </c>
      <c r="AD455" s="233"/>
      <c r="AE455" s="233"/>
      <c r="AF455" s="233"/>
      <c r="AG455" s="233"/>
    </row>
    <row r="456" spans="2:33" s="213" customFormat="1" ht="48" customHeight="1" x14ac:dyDescent="0.25">
      <c r="B456" s="160" t="s">
        <v>1555</v>
      </c>
      <c r="C456" s="385" t="s">
        <v>2</v>
      </c>
      <c r="D456" s="275" t="s">
        <v>1535</v>
      </c>
      <c r="E456" s="275" t="s">
        <v>1536</v>
      </c>
      <c r="F456" s="275" t="s">
        <v>1536</v>
      </c>
      <c r="G456" s="275" t="s">
        <v>1537</v>
      </c>
      <c r="H456" s="436" t="s">
        <v>95</v>
      </c>
      <c r="I456" s="214">
        <v>0</v>
      </c>
      <c r="J456" s="275" t="s">
        <v>505</v>
      </c>
      <c r="K456" s="275" t="s">
        <v>1098</v>
      </c>
      <c r="L456" s="283"/>
      <c r="M456" s="283" t="s">
        <v>58</v>
      </c>
      <c r="N456" s="283" t="s">
        <v>1331</v>
      </c>
      <c r="O456" s="409"/>
      <c r="P456" s="232"/>
      <c r="Q456" s="439">
        <v>1251000</v>
      </c>
      <c r="R456" s="439">
        <v>1251000</v>
      </c>
      <c r="S456" s="439">
        <v>1251000</v>
      </c>
      <c r="T456" s="325"/>
      <c r="U456" s="434"/>
      <c r="V456" s="311">
        <f>Q456+R456+S456</f>
        <v>3753000</v>
      </c>
      <c r="W456" s="302">
        <f t="shared" ref="W456" si="58">V456*1.12</f>
        <v>4203360</v>
      </c>
      <c r="X456" s="231"/>
      <c r="Y456" s="135">
        <v>2015</v>
      </c>
      <c r="Z456" s="408"/>
      <c r="AD456" s="233"/>
      <c r="AE456" s="233"/>
      <c r="AF456" s="233"/>
      <c r="AG456" s="233"/>
    </row>
    <row r="457" spans="2:33" s="213" customFormat="1" ht="48" customHeight="1" x14ac:dyDescent="0.25">
      <c r="B457" s="160" t="s">
        <v>1532</v>
      </c>
      <c r="C457" s="385" t="s">
        <v>2</v>
      </c>
      <c r="D457" s="275" t="s">
        <v>533</v>
      </c>
      <c r="E457" s="275" t="s">
        <v>534</v>
      </c>
      <c r="F457" s="275" t="s">
        <v>984</v>
      </c>
      <c r="G457" s="275" t="s">
        <v>1538</v>
      </c>
      <c r="H457" s="436" t="s">
        <v>95</v>
      </c>
      <c r="I457" s="214">
        <v>0</v>
      </c>
      <c r="J457" s="275" t="s">
        <v>1540</v>
      </c>
      <c r="K457" s="275" t="s">
        <v>1098</v>
      </c>
      <c r="L457" s="283"/>
      <c r="M457" s="283" t="s">
        <v>1132</v>
      </c>
      <c r="N457" s="283" t="s">
        <v>1331</v>
      </c>
      <c r="O457" s="409"/>
      <c r="P457" s="232"/>
      <c r="Q457" s="439">
        <f>120*300</f>
        <v>36000</v>
      </c>
      <c r="R457" s="439">
        <f>120*300</f>
        <v>36000</v>
      </c>
      <c r="S457" s="439">
        <f>120*300</f>
        <v>36000</v>
      </c>
      <c r="T457" s="325"/>
      <c r="U457" s="434"/>
      <c r="V457" s="311">
        <v>0</v>
      </c>
      <c r="W457" s="302">
        <f t="shared" si="56"/>
        <v>0</v>
      </c>
      <c r="X457" s="231"/>
      <c r="Y457" s="135">
        <v>2014</v>
      </c>
      <c r="Z457" s="408" t="s">
        <v>996</v>
      </c>
      <c r="AD457" s="233"/>
      <c r="AE457" s="233"/>
      <c r="AF457" s="233"/>
      <c r="AG457" s="233"/>
    </row>
    <row r="458" spans="2:33" s="213" customFormat="1" ht="48" customHeight="1" x14ac:dyDescent="0.25">
      <c r="B458" s="160" t="s">
        <v>1556</v>
      </c>
      <c r="C458" s="385" t="s">
        <v>2</v>
      </c>
      <c r="D458" s="275" t="s">
        <v>533</v>
      </c>
      <c r="E458" s="275" t="s">
        <v>534</v>
      </c>
      <c r="F458" s="275" t="s">
        <v>984</v>
      </c>
      <c r="G458" s="275" t="s">
        <v>1538</v>
      </c>
      <c r="H458" s="436" t="s">
        <v>95</v>
      </c>
      <c r="I458" s="214">
        <v>0</v>
      </c>
      <c r="J458" s="275" t="s">
        <v>505</v>
      </c>
      <c r="K458" s="275" t="s">
        <v>1098</v>
      </c>
      <c r="L458" s="283"/>
      <c r="M458" s="283" t="s">
        <v>1132</v>
      </c>
      <c r="N458" s="283" t="s">
        <v>1331</v>
      </c>
      <c r="O458" s="409"/>
      <c r="P458" s="232"/>
      <c r="Q458" s="439">
        <v>33360</v>
      </c>
      <c r="R458" s="439">
        <v>33360</v>
      </c>
      <c r="S458" s="439">
        <v>33360</v>
      </c>
      <c r="T458" s="325"/>
      <c r="U458" s="434"/>
      <c r="V458" s="311">
        <f>Q458+R458+S458</f>
        <v>100080</v>
      </c>
      <c r="W458" s="302">
        <f t="shared" ref="W458" si="59">V458*1.12</f>
        <v>112089.60000000001</v>
      </c>
      <c r="X458" s="231"/>
      <c r="Y458" s="135">
        <v>2015</v>
      </c>
      <c r="Z458" s="408"/>
      <c r="AD458" s="233"/>
      <c r="AE458" s="233"/>
      <c r="AF458" s="233"/>
      <c r="AG458" s="233"/>
    </row>
    <row r="459" spans="2:33" s="213" customFormat="1" ht="48" customHeight="1" x14ac:dyDescent="0.25">
      <c r="B459" s="160" t="s">
        <v>1533</v>
      </c>
      <c r="C459" s="385" t="s">
        <v>2</v>
      </c>
      <c r="D459" s="275" t="s">
        <v>533</v>
      </c>
      <c r="E459" s="275" t="s">
        <v>534</v>
      </c>
      <c r="F459" s="275" t="s">
        <v>984</v>
      </c>
      <c r="G459" s="275" t="s">
        <v>1539</v>
      </c>
      <c r="H459" s="436" t="s">
        <v>95</v>
      </c>
      <c r="I459" s="214">
        <v>0</v>
      </c>
      <c r="J459" s="275" t="s">
        <v>1540</v>
      </c>
      <c r="K459" s="275" t="s">
        <v>1098</v>
      </c>
      <c r="L459" s="386"/>
      <c r="M459" s="283" t="s">
        <v>1132</v>
      </c>
      <c r="N459" s="386" t="s">
        <v>1331</v>
      </c>
      <c r="O459" s="447"/>
      <c r="P459" s="295"/>
      <c r="Q459" s="439">
        <f>(400*11)*300</f>
        <v>1320000</v>
      </c>
      <c r="R459" s="439">
        <f>(400*11)*300</f>
        <v>1320000</v>
      </c>
      <c r="S459" s="439">
        <f>(400*11)*300</f>
        <v>1320000</v>
      </c>
      <c r="T459" s="325"/>
      <c r="U459" s="434"/>
      <c r="V459" s="311">
        <v>0</v>
      </c>
      <c r="W459" s="302">
        <f t="shared" si="56"/>
        <v>0</v>
      </c>
      <c r="X459" s="231"/>
      <c r="Y459" s="135">
        <v>2014</v>
      </c>
      <c r="Z459" s="408" t="s">
        <v>996</v>
      </c>
      <c r="AD459" s="233"/>
      <c r="AE459" s="233"/>
      <c r="AF459" s="233"/>
      <c r="AG459" s="233"/>
    </row>
    <row r="460" spans="2:33" s="213" customFormat="1" ht="48" customHeight="1" x14ac:dyDescent="0.25">
      <c r="B460" s="160" t="s">
        <v>1557</v>
      </c>
      <c r="C460" s="385" t="s">
        <v>2</v>
      </c>
      <c r="D460" s="275" t="s">
        <v>533</v>
      </c>
      <c r="E460" s="275" t="s">
        <v>534</v>
      </c>
      <c r="F460" s="275" t="s">
        <v>984</v>
      </c>
      <c r="G460" s="275" t="s">
        <v>1539</v>
      </c>
      <c r="H460" s="436" t="s">
        <v>95</v>
      </c>
      <c r="I460" s="214">
        <v>0</v>
      </c>
      <c r="J460" s="275" t="s">
        <v>505</v>
      </c>
      <c r="K460" s="275" t="s">
        <v>1098</v>
      </c>
      <c r="L460" s="386"/>
      <c r="M460" s="283" t="s">
        <v>1132</v>
      </c>
      <c r="N460" s="386" t="s">
        <v>1331</v>
      </c>
      <c r="O460" s="447"/>
      <c r="P460" s="295"/>
      <c r="Q460" s="439">
        <v>1223200</v>
      </c>
      <c r="R460" s="439">
        <v>1223200</v>
      </c>
      <c r="S460" s="439">
        <v>1223200</v>
      </c>
      <c r="T460" s="325"/>
      <c r="U460" s="434"/>
      <c r="V460" s="311">
        <f>Q460+R460+S460</f>
        <v>3669600</v>
      </c>
      <c r="W460" s="302">
        <f t="shared" ref="W460" si="60">V460*1.12</f>
        <v>4109952.0000000005</v>
      </c>
      <c r="X460" s="231"/>
      <c r="Y460" s="135">
        <v>2015</v>
      </c>
      <c r="Z460" s="408"/>
      <c r="AD460" s="233"/>
      <c r="AE460" s="233"/>
      <c r="AF460" s="233"/>
      <c r="AG460" s="233"/>
    </row>
    <row r="461" spans="2:33" s="213" customFormat="1" ht="48" customHeight="1" x14ac:dyDescent="0.25">
      <c r="B461" s="160" t="s">
        <v>1534</v>
      </c>
      <c r="C461" s="385" t="s">
        <v>2</v>
      </c>
      <c r="D461" s="289" t="s">
        <v>508</v>
      </c>
      <c r="E461" s="289" t="s">
        <v>509</v>
      </c>
      <c r="F461" s="289" t="s">
        <v>510</v>
      </c>
      <c r="G461" s="289" t="s">
        <v>1541</v>
      </c>
      <c r="H461" s="436" t="s">
        <v>95</v>
      </c>
      <c r="I461" s="214">
        <v>0</v>
      </c>
      <c r="J461" s="289" t="s">
        <v>1540</v>
      </c>
      <c r="K461" s="289" t="s">
        <v>1098</v>
      </c>
      <c r="L461" s="283"/>
      <c r="M461" s="386" t="s">
        <v>1132</v>
      </c>
      <c r="N461" s="386" t="s">
        <v>1331</v>
      </c>
      <c r="O461" s="409"/>
      <c r="P461" s="232"/>
      <c r="Q461" s="446">
        <v>75000</v>
      </c>
      <c r="R461" s="446">
        <v>0</v>
      </c>
      <c r="S461" s="446">
        <v>0</v>
      </c>
      <c r="T461" s="334"/>
      <c r="U461" s="434"/>
      <c r="V461" s="311">
        <v>0</v>
      </c>
      <c r="W461" s="302">
        <f t="shared" ref="W461" si="61">V461*1.12</f>
        <v>0</v>
      </c>
      <c r="X461" s="231"/>
      <c r="Y461" s="135">
        <v>2014</v>
      </c>
      <c r="Z461" s="408" t="s">
        <v>996</v>
      </c>
      <c r="AD461" s="233"/>
      <c r="AE461" s="233"/>
      <c r="AF461" s="233"/>
      <c r="AG461" s="233"/>
    </row>
    <row r="462" spans="2:33" s="213" customFormat="1" ht="48" customHeight="1" x14ac:dyDescent="0.25">
      <c r="B462" s="160" t="s">
        <v>1558</v>
      </c>
      <c r="C462" s="385" t="s">
        <v>2</v>
      </c>
      <c r="D462" s="289" t="s">
        <v>508</v>
      </c>
      <c r="E462" s="289" t="s">
        <v>509</v>
      </c>
      <c r="F462" s="289" t="s">
        <v>510</v>
      </c>
      <c r="G462" s="289" t="s">
        <v>1541</v>
      </c>
      <c r="H462" s="436" t="s">
        <v>95</v>
      </c>
      <c r="I462" s="214">
        <v>0</v>
      </c>
      <c r="J462" s="275" t="s">
        <v>505</v>
      </c>
      <c r="K462" s="289" t="s">
        <v>1098</v>
      </c>
      <c r="L462" s="283"/>
      <c r="M462" s="283" t="s">
        <v>58</v>
      </c>
      <c r="N462" s="386" t="s">
        <v>1331</v>
      </c>
      <c r="O462" s="409"/>
      <c r="P462" s="232"/>
      <c r="Q462" s="446">
        <v>69500</v>
      </c>
      <c r="R462" s="446">
        <v>0</v>
      </c>
      <c r="S462" s="446">
        <v>0</v>
      </c>
      <c r="T462" s="334"/>
      <c r="U462" s="434"/>
      <c r="V462" s="311">
        <v>69500</v>
      </c>
      <c r="W462" s="302">
        <f t="shared" ref="W462" si="62">V462*1.12</f>
        <v>77840.000000000015</v>
      </c>
      <c r="X462" s="231"/>
      <c r="Y462" s="135">
        <v>2015</v>
      </c>
      <c r="Z462" s="408"/>
      <c r="AD462" s="233"/>
      <c r="AE462" s="233"/>
      <c r="AF462" s="233"/>
      <c r="AG462" s="233"/>
    </row>
    <row r="463" spans="2:33" s="213" customFormat="1" ht="48" customHeight="1" x14ac:dyDescent="0.25">
      <c r="B463" s="448" t="s">
        <v>1542</v>
      </c>
      <c r="C463" s="449" t="s">
        <v>2</v>
      </c>
      <c r="D463" s="289" t="s">
        <v>676</v>
      </c>
      <c r="E463" s="289" t="s">
        <v>677</v>
      </c>
      <c r="F463" s="289" t="s">
        <v>677</v>
      </c>
      <c r="G463" s="289" t="s">
        <v>1543</v>
      </c>
      <c r="H463" s="450" t="s">
        <v>3</v>
      </c>
      <c r="I463" s="445">
        <v>0</v>
      </c>
      <c r="J463" s="289" t="s">
        <v>537</v>
      </c>
      <c r="K463" s="289" t="s">
        <v>1098</v>
      </c>
      <c r="L463" s="386"/>
      <c r="M463" s="289" t="s">
        <v>1566</v>
      </c>
      <c r="N463" s="386" t="s">
        <v>1331</v>
      </c>
      <c r="O463" s="447"/>
      <c r="P463" s="295"/>
      <c r="Q463" s="311">
        <v>102713850</v>
      </c>
      <c r="R463" s="311">
        <v>19518840</v>
      </c>
      <c r="S463" s="311">
        <v>19518840</v>
      </c>
      <c r="T463" s="311">
        <v>19518840</v>
      </c>
      <c r="U463" s="451"/>
      <c r="V463" s="340">
        <v>180789210</v>
      </c>
      <c r="W463" s="317">
        <f t="shared" si="56"/>
        <v>202483915.20000002</v>
      </c>
      <c r="X463" s="293"/>
      <c r="Y463" s="294">
        <v>2015</v>
      </c>
      <c r="Z463" s="411"/>
      <c r="AD463" s="233"/>
      <c r="AE463" s="233"/>
      <c r="AF463" s="233"/>
      <c r="AG463" s="233"/>
    </row>
    <row r="464" spans="2:33" s="213" customFormat="1" ht="48" customHeight="1" x14ac:dyDescent="0.25">
      <c r="B464" s="160" t="s">
        <v>1544</v>
      </c>
      <c r="C464" s="449" t="s">
        <v>2</v>
      </c>
      <c r="D464" s="289" t="s">
        <v>450</v>
      </c>
      <c r="E464" s="289" t="s">
        <v>451</v>
      </c>
      <c r="F464" s="289" t="s">
        <v>451</v>
      </c>
      <c r="G464" s="289" t="s">
        <v>1547</v>
      </c>
      <c r="H464" s="436" t="s">
        <v>95</v>
      </c>
      <c r="I464" s="214">
        <v>0</v>
      </c>
      <c r="J464" s="289" t="s">
        <v>1540</v>
      </c>
      <c r="K464" s="289" t="s">
        <v>1509</v>
      </c>
      <c r="L464" s="283"/>
      <c r="M464" s="386" t="s">
        <v>1132</v>
      </c>
      <c r="N464" s="386" t="s">
        <v>1331</v>
      </c>
      <c r="O464" s="409"/>
      <c r="P464" s="232"/>
      <c r="Q464" s="455">
        <v>49744899.124203637</v>
      </c>
      <c r="R464" s="455">
        <v>49744899.124203637</v>
      </c>
      <c r="S464" s="455">
        <v>49744899.124203637</v>
      </c>
      <c r="T464" s="455"/>
      <c r="U464" s="434"/>
      <c r="V464" s="340">
        <v>149234697.37</v>
      </c>
      <c r="W464" s="317">
        <f t="shared" si="56"/>
        <v>167142861.05440003</v>
      </c>
      <c r="X464" s="231"/>
      <c r="Y464" s="294">
        <v>2014</v>
      </c>
      <c r="Z464" s="408"/>
      <c r="AD464" s="233"/>
      <c r="AE464" s="233"/>
      <c r="AF464" s="233"/>
      <c r="AG464" s="233"/>
    </row>
    <row r="465" spans="2:33" s="213" customFormat="1" ht="48" customHeight="1" x14ac:dyDescent="0.25">
      <c r="B465" s="448" t="s">
        <v>1545</v>
      </c>
      <c r="C465" s="449" t="s">
        <v>2</v>
      </c>
      <c r="D465" s="289" t="s">
        <v>450</v>
      </c>
      <c r="E465" s="289" t="s">
        <v>451</v>
      </c>
      <c r="F465" s="289" t="s">
        <v>451</v>
      </c>
      <c r="G465" s="289" t="s">
        <v>1548</v>
      </c>
      <c r="H465" s="436" t="s">
        <v>95</v>
      </c>
      <c r="I465" s="214">
        <v>0</v>
      </c>
      <c r="J465" s="289" t="s">
        <v>1540</v>
      </c>
      <c r="K465" s="82" t="s">
        <v>1501</v>
      </c>
      <c r="L465" s="283"/>
      <c r="M465" s="386" t="s">
        <v>1132</v>
      </c>
      <c r="N465" s="386" t="s">
        <v>1331</v>
      </c>
      <c r="O465" s="409"/>
      <c r="P465" s="232"/>
      <c r="Q465" s="340">
        <v>97080845.519353896</v>
      </c>
      <c r="R465" s="340">
        <v>97080845.519353896</v>
      </c>
      <c r="S465" s="340"/>
      <c r="T465" s="340"/>
      <c r="U465" s="434"/>
      <c r="V465" s="291">
        <v>194161691.03870779</v>
      </c>
      <c r="W465" s="317">
        <f t="shared" si="56"/>
        <v>217461093.96335274</v>
      </c>
      <c r="X465" s="231"/>
      <c r="Y465" s="294">
        <v>2014</v>
      </c>
      <c r="Z465" s="408"/>
      <c r="AD465" s="233"/>
      <c r="AE465" s="233"/>
      <c r="AF465" s="233"/>
      <c r="AG465" s="233"/>
    </row>
    <row r="466" spans="2:33" s="213" customFormat="1" ht="48" customHeight="1" x14ac:dyDescent="0.25">
      <c r="B466" s="160" t="s">
        <v>1546</v>
      </c>
      <c r="C466" s="449" t="s">
        <v>2</v>
      </c>
      <c r="D466" s="289" t="s">
        <v>450</v>
      </c>
      <c r="E466" s="289" t="s">
        <v>451</v>
      </c>
      <c r="F466" s="289" t="s">
        <v>451</v>
      </c>
      <c r="G466" s="289" t="s">
        <v>1549</v>
      </c>
      <c r="H466" s="450" t="s">
        <v>95</v>
      </c>
      <c r="I466" s="445">
        <v>0</v>
      </c>
      <c r="J466" s="289" t="s">
        <v>1540</v>
      </c>
      <c r="K466" s="452" t="s">
        <v>1390</v>
      </c>
      <c r="L466" s="386"/>
      <c r="M466" s="386" t="s">
        <v>1132</v>
      </c>
      <c r="N466" s="386" t="s">
        <v>1331</v>
      </c>
      <c r="O466" s="447"/>
      <c r="P466" s="295"/>
      <c r="Q466" s="340">
        <v>22151102.218895201</v>
      </c>
      <c r="R466" s="340">
        <v>22151102.218895201</v>
      </c>
      <c r="S466" s="340"/>
      <c r="T466" s="340"/>
      <c r="U466" s="451"/>
      <c r="V466" s="291">
        <v>44302204.437790401</v>
      </c>
      <c r="W466" s="317">
        <f t="shared" si="56"/>
        <v>49618468.970325254</v>
      </c>
      <c r="X466" s="293"/>
      <c r="Y466" s="294">
        <v>2014</v>
      </c>
      <c r="Z466" s="411"/>
      <c r="AD466" s="233"/>
      <c r="AE466" s="233"/>
      <c r="AF466" s="233"/>
      <c r="AG466" s="233"/>
    </row>
    <row r="467" spans="2:33" s="213" customFormat="1" ht="48" customHeight="1" x14ac:dyDescent="0.25">
      <c r="B467" s="448" t="s">
        <v>1550</v>
      </c>
      <c r="C467" s="449" t="s">
        <v>2</v>
      </c>
      <c r="D467" s="289" t="s">
        <v>744</v>
      </c>
      <c r="E467" s="289" t="s">
        <v>745</v>
      </c>
      <c r="F467" s="289" t="s">
        <v>745</v>
      </c>
      <c r="G467" s="289" t="s">
        <v>1357</v>
      </c>
      <c r="H467" s="450" t="s">
        <v>95</v>
      </c>
      <c r="I467" s="445">
        <v>0</v>
      </c>
      <c r="J467" s="289" t="s">
        <v>1386</v>
      </c>
      <c r="K467" s="109" t="s">
        <v>630</v>
      </c>
      <c r="L467" s="386"/>
      <c r="M467" s="386" t="s">
        <v>1352</v>
      </c>
      <c r="N467" s="386" t="s">
        <v>1331</v>
      </c>
      <c r="O467" s="447"/>
      <c r="P467" s="295"/>
      <c r="Q467" s="340">
        <f>647500*12</f>
        <v>7770000</v>
      </c>
      <c r="R467" s="340">
        <f>647500*12</f>
        <v>7770000</v>
      </c>
      <c r="S467" s="340">
        <f>647500*12</f>
        <v>7770000</v>
      </c>
      <c r="T467" s="340">
        <f>647500*6</f>
        <v>3885000</v>
      </c>
      <c r="U467" s="340"/>
      <c r="V467" s="277">
        <v>27195000</v>
      </c>
      <c r="W467" s="302">
        <f t="shared" si="56"/>
        <v>30458400.000000004</v>
      </c>
      <c r="X467" s="231"/>
      <c r="Y467" s="294">
        <v>2014</v>
      </c>
      <c r="Z467" s="408"/>
      <c r="AD467" s="233"/>
      <c r="AE467" s="233"/>
      <c r="AF467" s="233"/>
      <c r="AG467" s="233"/>
    </row>
    <row r="468" spans="2:33" s="213" customFormat="1" ht="48" customHeight="1" x14ac:dyDescent="0.25">
      <c r="B468" s="160" t="s">
        <v>1551</v>
      </c>
      <c r="C468" s="449" t="s">
        <v>2</v>
      </c>
      <c r="D468" s="453" t="s">
        <v>412</v>
      </c>
      <c r="E468" s="453" t="s">
        <v>413</v>
      </c>
      <c r="F468" s="453" t="s">
        <v>413</v>
      </c>
      <c r="G468" s="453" t="s">
        <v>1552</v>
      </c>
      <c r="H468" s="450" t="s">
        <v>95</v>
      </c>
      <c r="I468" s="445">
        <v>0</v>
      </c>
      <c r="J468" s="289" t="s">
        <v>1021</v>
      </c>
      <c r="K468" s="160" t="s">
        <v>1011</v>
      </c>
      <c r="L468" s="283"/>
      <c r="M468" s="283" t="s">
        <v>1132</v>
      </c>
      <c r="N468" s="283" t="s">
        <v>1331</v>
      </c>
      <c r="O468" s="409"/>
      <c r="P468" s="232"/>
      <c r="Q468" s="340">
        <v>5065500</v>
      </c>
      <c r="R468" s="340">
        <v>5065500</v>
      </c>
      <c r="S468" s="311"/>
      <c r="T468" s="311"/>
      <c r="U468" s="434"/>
      <c r="V468" s="438">
        <v>10131000</v>
      </c>
      <c r="W468" s="302">
        <f t="shared" si="56"/>
        <v>11346720.000000002</v>
      </c>
      <c r="X468" s="231"/>
      <c r="Y468" s="294">
        <v>2014</v>
      </c>
      <c r="Z468" s="408"/>
      <c r="AD468" s="233"/>
      <c r="AE468" s="233"/>
      <c r="AF468" s="233"/>
      <c r="AG468" s="233"/>
    </row>
    <row r="469" spans="2:33" s="213" customFormat="1" ht="48" customHeight="1" x14ac:dyDescent="0.25">
      <c r="B469" s="448" t="s">
        <v>1559</v>
      </c>
      <c r="C469" s="449" t="s">
        <v>2</v>
      </c>
      <c r="D469" s="453" t="s">
        <v>445</v>
      </c>
      <c r="E469" s="453" t="s">
        <v>446</v>
      </c>
      <c r="F469" s="453" t="s">
        <v>447</v>
      </c>
      <c r="G469" s="453" t="s">
        <v>1560</v>
      </c>
      <c r="H469" s="450" t="s">
        <v>95</v>
      </c>
      <c r="I469" s="445">
        <v>0</v>
      </c>
      <c r="J469" s="289" t="s">
        <v>505</v>
      </c>
      <c r="K469" s="448" t="s">
        <v>1561</v>
      </c>
      <c r="L469" s="386"/>
      <c r="M469" s="386" t="s">
        <v>1132</v>
      </c>
      <c r="N469" s="386" t="s">
        <v>1331</v>
      </c>
      <c r="O469" s="447"/>
      <c r="P469" s="295"/>
      <c r="Q469" s="340">
        <v>1281000</v>
      </c>
      <c r="R469" s="340">
        <v>1281000</v>
      </c>
      <c r="S469" s="340"/>
      <c r="T469" s="340"/>
      <c r="U469" s="451"/>
      <c r="V469" s="443">
        <v>2562000</v>
      </c>
      <c r="W469" s="317">
        <f t="shared" ref="W469:W473" si="63">V469*1.12</f>
        <v>2869440.0000000005</v>
      </c>
      <c r="X469" s="293"/>
      <c r="Y469" s="294">
        <v>2015</v>
      </c>
      <c r="Z469" s="411"/>
      <c r="AD469" s="233"/>
      <c r="AE469" s="233"/>
      <c r="AF469" s="233"/>
      <c r="AG469" s="233"/>
    </row>
    <row r="470" spans="2:33" s="213" customFormat="1" ht="48" customHeight="1" x14ac:dyDescent="0.25">
      <c r="B470" s="160" t="s">
        <v>1562</v>
      </c>
      <c r="C470" s="449" t="s">
        <v>2</v>
      </c>
      <c r="D470" s="453" t="s">
        <v>595</v>
      </c>
      <c r="E470" s="453" t="s">
        <v>596</v>
      </c>
      <c r="F470" s="453" t="s">
        <v>597</v>
      </c>
      <c r="G470" s="453" t="s">
        <v>1564</v>
      </c>
      <c r="H470" s="450" t="s">
        <v>95</v>
      </c>
      <c r="I470" s="445">
        <v>0</v>
      </c>
      <c r="J470" s="289" t="s">
        <v>505</v>
      </c>
      <c r="K470" s="448" t="s">
        <v>1565</v>
      </c>
      <c r="L470" s="386"/>
      <c r="M470" s="386" t="s">
        <v>1132</v>
      </c>
      <c r="N470" s="386" t="s">
        <v>1331</v>
      </c>
      <c r="O470" s="409"/>
      <c r="P470" s="232"/>
      <c r="Q470" s="311">
        <v>1000000</v>
      </c>
      <c r="R470" s="311">
        <v>1000000</v>
      </c>
      <c r="S470" s="311"/>
      <c r="T470" s="311"/>
      <c r="U470" s="434"/>
      <c r="V470" s="438">
        <v>2000000</v>
      </c>
      <c r="W470" s="302">
        <f t="shared" si="63"/>
        <v>2240000</v>
      </c>
      <c r="X470" s="231"/>
      <c r="Y470" s="294">
        <v>2015</v>
      </c>
      <c r="Z470" s="408"/>
      <c r="AD470" s="233"/>
      <c r="AE470" s="233"/>
      <c r="AF470" s="233"/>
      <c r="AG470" s="233"/>
    </row>
    <row r="471" spans="2:33" s="213" customFormat="1" ht="48" customHeight="1" x14ac:dyDescent="0.25">
      <c r="B471" s="448" t="s">
        <v>1563</v>
      </c>
      <c r="C471" s="355" t="s">
        <v>2</v>
      </c>
      <c r="D471" s="453" t="s">
        <v>1123</v>
      </c>
      <c r="E471" s="453" t="s">
        <v>1124</v>
      </c>
      <c r="F471" s="453" t="s">
        <v>1124</v>
      </c>
      <c r="G471" s="453" t="s">
        <v>1125</v>
      </c>
      <c r="H471" s="450" t="s">
        <v>1129</v>
      </c>
      <c r="I471" s="445">
        <v>0</v>
      </c>
      <c r="J471" s="289" t="s">
        <v>505</v>
      </c>
      <c r="K471" s="289" t="s">
        <v>1098</v>
      </c>
      <c r="L471" s="386"/>
      <c r="M471" s="386" t="s">
        <v>1126</v>
      </c>
      <c r="N471" s="386" t="s">
        <v>1331</v>
      </c>
      <c r="O471" s="447"/>
      <c r="P471" s="295"/>
      <c r="Q471" s="340">
        <v>2997000</v>
      </c>
      <c r="R471" s="340">
        <v>2997000</v>
      </c>
      <c r="S471" s="340">
        <v>2997000</v>
      </c>
      <c r="T471" s="340"/>
      <c r="U471" s="451"/>
      <c r="V471" s="443">
        <v>8991000</v>
      </c>
      <c r="W471" s="317">
        <f t="shared" si="63"/>
        <v>10069920.000000002</v>
      </c>
      <c r="X471" s="293"/>
      <c r="Y471" s="294">
        <v>2015</v>
      </c>
      <c r="Z471" s="411" t="s">
        <v>756</v>
      </c>
      <c r="AD471" s="233"/>
      <c r="AE471" s="233"/>
      <c r="AF471" s="233"/>
      <c r="AG471" s="233"/>
    </row>
    <row r="472" spans="2:33" s="213" customFormat="1" ht="48" customHeight="1" x14ac:dyDescent="0.25">
      <c r="B472" s="160" t="s">
        <v>1567</v>
      </c>
      <c r="C472" s="355" t="s">
        <v>2</v>
      </c>
      <c r="D472" s="453" t="s">
        <v>706</v>
      </c>
      <c r="E472" s="453" t="s">
        <v>707</v>
      </c>
      <c r="F472" s="453" t="s">
        <v>707</v>
      </c>
      <c r="G472" s="453" t="s">
        <v>1569</v>
      </c>
      <c r="H472" s="453" t="s">
        <v>95</v>
      </c>
      <c r="I472" s="214">
        <v>0</v>
      </c>
      <c r="J472" s="275" t="s">
        <v>505</v>
      </c>
      <c r="K472" s="275" t="s">
        <v>1098</v>
      </c>
      <c r="L472" s="283"/>
      <c r="M472" s="275" t="s">
        <v>1570</v>
      </c>
      <c r="N472" s="283" t="s">
        <v>1331</v>
      </c>
      <c r="O472" s="409"/>
      <c r="P472" s="232"/>
      <c r="Q472" s="340">
        <f>53131*184</f>
        <v>9776104</v>
      </c>
      <c r="R472" s="340">
        <f>54724*184</f>
        <v>10069216</v>
      </c>
      <c r="S472" s="340">
        <f>56366*184</f>
        <v>10371344</v>
      </c>
      <c r="T472" s="340">
        <f>58057*184</f>
        <v>10682488</v>
      </c>
      <c r="U472" s="434"/>
      <c r="V472" s="443">
        <f>SUM(P472:T472)+9491272</f>
        <v>50390424</v>
      </c>
      <c r="W472" s="302">
        <f t="shared" si="63"/>
        <v>56437274.880000003</v>
      </c>
      <c r="X472" s="231"/>
      <c r="Y472" s="135">
        <v>2015</v>
      </c>
      <c r="Z472" s="408"/>
      <c r="AD472" s="233"/>
      <c r="AE472" s="233"/>
      <c r="AF472" s="233"/>
      <c r="AG472" s="233"/>
    </row>
    <row r="473" spans="2:33" s="213" customFormat="1" ht="48" customHeight="1" x14ac:dyDescent="0.25">
      <c r="B473" s="448" t="s">
        <v>1568</v>
      </c>
      <c r="C473" s="355" t="s">
        <v>2</v>
      </c>
      <c r="D473" s="453" t="s">
        <v>744</v>
      </c>
      <c r="E473" s="453" t="s">
        <v>745</v>
      </c>
      <c r="F473" s="453" t="s">
        <v>745</v>
      </c>
      <c r="G473" s="453" t="s">
        <v>1571</v>
      </c>
      <c r="H473" s="453" t="s">
        <v>95</v>
      </c>
      <c r="I473" s="214">
        <v>0</v>
      </c>
      <c r="J473" s="275" t="s">
        <v>505</v>
      </c>
      <c r="K473" s="275" t="s">
        <v>1572</v>
      </c>
      <c r="L473" s="283"/>
      <c r="M473" s="275" t="s">
        <v>311</v>
      </c>
      <c r="N473" s="283" t="s">
        <v>1331</v>
      </c>
      <c r="O473" s="409"/>
      <c r="P473" s="232"/>
      <c r="Q473" s="340">
        <v>1214400</v>
      </c>
      <c r="R473" s="340">
        <v>1214400</v>
      </c>
      <c r="S473" s="340">
        <v>1214400</v>
      </c>
      <c r="T473" s="340">
        <v>1214400</v>
      </c>
      <c r="U473" s="434"/>
      <c r="V473" s="443">
        <v>6982800</v>
      </c>
      <c r="W473" s="302">
        <f t="shared" si="63"/>
        <v>7820736.0000000009</v>
      </c>
      <c r="X473" s="231"/>
      <c r="Y473" s="135">
        <v>2015</v>
      </c>
      <c r="Z473" s="408"/>
      <c r="AD473" s="233"/>
      <c r="AE473" s="233"/>
      <c r="AF473" s="233"/>
      <c r="AG473" s="233"/>
    </row>
    <row r="474" spans="2:33" s="213" customFormat="1" ht="48" customHeight="1" x14ac:dyDescent="0.25">
      <c r="B474" s="448" t="s">
        <v>1573</v>
      </c>
      <c r="C474" s="381" t="s">
        <v>2</v>
      </c>
      <c r="D474" s="338" t="s">
        <v>1574</v>
      </c>
      <c r="E474" s="338" t="s">
        <v>1575</v>
      </c>
      <c r="F474" s="338" t="s">
        <v>1575</v>
      </c>
      <c r="G474" s="338" t="s">
        <v>1576</v>
      </c>
      <c r="H474" s="456" t="s">
        <v>95</v>
      </c>
      <c r="I474" s="445">
        <v>0</v>
      </c>
      <c r="J474" s="289" t="s">
        <v>505</v>
      </c>
      <c r="K474" s="289" t="s">
        <v>1179</v>
      </c>
      <c r="L474" s="386"/>
      <c r="M474" s="386" t="s">
        <v>1132</v>
      </c>
      <c r="N474" s="386" t="s">
        <v>1331</v>
      </c>
      <c r="O474" s="447"/>
      <c r="P474" s="295"/>
      <c r="Q474" s="315">
        <f>R474</f>
        <v>3750000</v>
      </c>
      <c r="R474" s="315">
        <v>3750000</v>
      </c>
      <c r="S474" s="315">
        <v>3750000</v>
      </c>
      <c r="T474" s="315">
        <v>3750000</v>
      </c>
      <c r="U474" s="451"/>
      <c r="V474" s="443">
        <v>15000000</v>
      </c>
      <c r="W474" s="317">
        <f t="shared" ref="W474:W479" si="64">V474*1.12</f>
        <v>16800000</v>
      </c>
      <c r="X474" s="293"/>
      <c r="Y474" s="294">
        <v>2015</v>
      </c>
      <c r="Z474" s="411"/>
      <c r="AD474" s="233"/>
      <c r="AE474" s="233"/>
      <c r="AF474" s="233"/>
      <c r="AG474" s="233"/>
    </row>
    <row r="475" spans="2:33" s="213" customFormat="1" ht="48" customHeight="1" x14ac:dyDescent="0.25">
      <c r="B475" s="448" t="s">
        <v>1577</v>
      </c>
      <c r="C475" s="355" t="s">
        <v>2</v>
      </c>
      <c r="D475" s="279" t="s">
        <v>295</v>
      </c>
      <c r="E475" s="279" t="s">
        <v>296</v>
      </c>
      <c r="F475" s="279" t="s">
        <v>296</v>
      </c>
      <c r="G475" s="279" t="s">
        <v>1578</v>
      </c>
      <c r="H475" s="456" t="s">
        <v>95</v>
      </c>
      <c r="I475" s="445">
        <v>0</v>
      </c>
      <c r="J475" s="289" t="s">
        <v>505</v>
      </c>
      <c r="K475" s="289" t="s">
        <v>1580</v>
      </c>
      <c r="L475" s="283"/>
      <c r="M475" s="386" t="s">
        <v>1132</v>
      </c>
      <c r="N475" s="386" t="s">
        <v>1331</v>
      </c>
      <c r="O475" s="409"/>
      <c r="P475" s="232"/>
      <c r="Q475" s="309">
        <v>42000000</v>
      </c>
      <c r="R475" s="309">
        <v>42000000</v>
      </c>
      <c r="S475" s="309">
        <v>42000000</v>
      </c>
      <c r="T475" s="309"/>
      <c r="U475" s="434"/>
      <c r="V475" s="438">
        <v>126000000</v>
      </c>
      <c r="W475" s="302">
        <f t="shared" si="64"/>
        <v>141120000</v>
      </c>
      <c r="X475" s="231"/>
      <c r="Y475" s="294">
        <v>2015</v>
      </c>
      <c r="Z475" s="408"/>
      <c r="AD475" s="233"/>
      <c r="AE475" s="233"/>
      <c r="AF475" s="233"/>
      <c r="AG475" s="233"/>
    </row>
    <row r="476" spans="2:33" s="213" customFormat="1" ht="48" customHeight="1" x14ac:dyDescent="0.25">
      <c r="B476" s="448" t="s">
        <v>1579</v>
      </c>
      <c r="C476" s="381" t="s">
        <v>2</v>
      </c>
      <c r="D476" s="338" t="s">
        <v>706</v>
      </c>
      <c r="E476" s="338" t="s">
        <v>707</v>
      </c>
      <c r="F476" s="338" t="s">
        <v>707</v>
      </c>
      <c r="G476" s="338" t="s">
        <v>1582</v>
      </c>
      <c r="H476" s="338" t="s">
        <v>95</v>
      </c>
      <c r="I476" s="338">
        <v>0</v>
      </c>
      <c r="J476" s="338" t="s">
        <v>505</v>
      </c>
      <c r="K476" s="289" t="s">
        <v>1098</v>
      </c>
      <c r="L476" s="338"/>
      <c r="M476" s="338" t="s">
        <v>1583</v>
      </c>
      <c r="N476" s="338" t="s">
        <v>1331</v>
      </c>
      <c r="O476" s="447"/>
      <c r="P476" s="295"/>
      <c r="Q476" s="315">
        <v>101200</v>
      </c>
      <c r="R476" s="315">
        <v>110400</v>
      </c>
      <c r="S476" s="315">
        <v>18400</v>
      </c>
      <c r="T476" s="315"/>
      <c r="U476" s="451"/>
      <c r="V476" s="443">
        <v>230000</v>
      </c>
      <c r="W476" s="317">
        <f t="shared" si="64"/>
        <v>257600.00000000003</v>
      </c>
      <c r="X476" s="293"/>
      <c r="Y476" s="294">
        <v>2015</v>
      </c>
      <c r="Z476" s="411"/>
      <c r="AD476" s="233"/>
      <c r="AE476" s="233"/>
      <c r="AF476" s="233"/>
      <c r="AG476" s="233"/>
    </row>
    <row r="477" spans="2:33" s="213" customFormat="1" ht="48" customHeight="1" x14ac:dyDescent="0.25">
      <c r="B477" s="160" t="s">
        <v>1581</v>
      </c>
      <c r="C477" s="355" t="s">
        <v>2</v>
      </c>
      <c r="D477" s="338" t="s">
        <v>295</v>
      </c>
      <c r="E477" s="338" t="s">
        <v>296</v>
      </c>
      <c r="F477" s="338" t="s">
        <v>296</v>
      </c>
      <c r="G477" s="338" t="s">
        <v>1584</v>
      </c>
      <c r="H477" s="338" t="s">
        <v>95</v>
      </c>
      <c r="I477" s="338">
        <v>0</v>
      </c>
      <c r="J477" s="338" t="s">
        <v>505</v>
      </c>
      <c r="K477" s="289" t="s">
        <v>1585</v>
      </c>
      <c r="L477" s="338"/>
      <c r="M477" s="386" t="s">
        <v>1132</v>
      </c>
      <c r="N477" s="338" t="s">
        <v>1331</v>
      </c>
      <c r="O477" s="447"/>
      <c r="P477" s="295"/>
      <c r="Q477" s="315">
        <v>412946428.57142854</v>
      </c>
      <c r="R477" s="315">
        <v>412946428.57142854</v>
      </c>
      <c r="S477" s="315"/>
      <c r="T477" s="315"/>
      <c r="U477" s="451"/>
      <c r="V477" s="443">
        <v>825892857.13999999</v>
      </c>
      <c r="W477" s="317">
        <f t="shared" si="64"/>
        <v>924999999.99680007</v>
      </c>
      <c r="X477" s="293"/>
      <c r="Y477" s="294">
        <v>2015</v>
      </c>
      <c r="Z477" s="411"/>
      <c r="AD477" s="233"/>
      <c r="AE477" s="233"/>
      <c r="AF477" s="233"/>
      <c r="AG477" s="233"/>
    </row>
    <row r="478" spans="2:33" s="213" customFormat="1" ht="48" customHeight="1" x14ac:dyDescent="0.25">
      <c r="B478" s="448" t="s">
        <v>1586</v>
      </c>
      <c r="C478" s="355" t="s">
        <v>2</v>
      </c>
      <c r="D478" s="338" t="s">
        <v>614</v>
      </c>
      <c r="E478" s="338" t="s">
        <v>615</v>
      </c>
      <c r="F478" s="338" t="s">
        <v>616</v>
      </c>
      <c r="G478" s="338" t="s">
        <v>1587</v>
      </c>
      <c r="H478" s="338" t="s">
        <v>95</v>
      </c>
      <c r="I478" s="338">
        <v>0</v>
      </c>
      <c r="J478" s="338" t="s">
        <v>505</v>
      </c>
      <c r="K478" s="289" t="s">
        <v>1098</v>
      </c>
      <c r="L478" s="338"/>
      <c r="M478" s="386" t="s">
        <v>1132</v>
      </c>
      <c r="N478" s="338" t="s">
        <v>1331</v>
      </c>
      <c r="O478" s="447"/>
      <c r="P478" s="295"/>
      <c r="Q478" s="315">
        <v>168190</v>
      </c>
      <c r="R478" s="315">
        <v>137610</v>
      </c>
      <c r="S478" s="315"/>
      <c r="T478" s="315"/>
      <c r="U478" s="451"/>
      <c r="V478" s="443">
        <v>305800</v>
      </c>
      <c r="W478" s="317">
        <f t="shared" si="64"/>
        <v>342496.00000000006</v>
      </c>
      <c r="X478" s="293"/>
      <c r="Y478" s="294">
        <v>2015</v>
      </c>
      <c r="Z478" s="411"/>
      <c r="AD478" s="233"/>
      <c r="AE478" s="233"/>
      <c r="AF478" s="233"/>
      <c r="AG478" s="233"/>
    </row>
    <row r="479" spans="2:33" s="213" customFormat="1" ht="48" customHeight="1" x14ac:dyDescent="0.25">
      <c r="B479" s="160" t="s">
        <v>1588</v>
      </c>
      <c r="C479" s="355" t="s">
        <v>2</v>
      </c>
      <c r="D479" s="338" t="s">
        <v>744</v>
      </c>
      <c r="E479" s="338" t="s">
        <v>745</v>
      </c>
      <c r="F479" s="338" t="s">
        <v>745</v>
      </c>
      <c r="G479" s="338" t="s">
        <v>1156</v>
      </c>
      <c r="H479" s="338" t="s">
        <v>95</v>
      </c>
      <c r="I479" s="338">
        <v>0</v>
      </c>
      <c r="J479" s="338" t="s">
        <v>505</v>
      </c>
      <c r="K479" s="289" t="s">
        <v>1272</v>
      </c>
      <c r="L479" s="338"/>
      <c r="M479" s="386" t="s">
        <v>1132</v>
      </c>
      <c r="N479" s="338" t="s">
        <v>1331</v>
      </c>
      <c r="O479" s="409"/>
      <c r="P479" s="232"/>
      <c r="Q479" s="309">
        <v>1925000</v>
      </c>
      <c r="R479" s="309">
        <v>2100000</v>
      </c>
      <c r="S479" s="309">
        <v>2100000</v>
      </c>
      <c r="T479" s="309">
        <v>2100000</v>
      </c>
      <c r="U479" s="434"/>
      <c r="V479" s="438">
        <v>10500000</v>
      </c>
      <c r="W479" s="302">
        <f t="shared" si="64"/>
        <v>11760000.000000002</v>
      </c>
      <c r="X479" s="231"/>
      <c r="Y479" s="294">
        <v>2015</v>
      </c>
      <c r="Z479" s="408"/>
      <c r="AD479" s="233"/>
      <c r="AE479" s="233"/>
      <c r="AF479" s="233"/>
      <c r="AG479" s="233"/>
    </row>
    <row r="480" spans="2:33" s="213" customFormat="1" ht="48" customHeight="1" x14ac:dyDescent="0.25">
      <c r="B480" s="448" t="s">
        <v>1589</v>
      </c>
      <c r="C480" s="355" t="s">
        <v>2</v>
      </c>
      <c r="D480" s="338" t="s">
        <v>295</v>
      </c>
      <c r="E480" s="338" t="s">
        <v>296</v>
      </c>
      <c r="F480" s="338" t="s">
        <v>296</v>
      </c>
      <c r="G480" s="338" t="s">
        <v>1590</v>
      </c>
      <c r="H480" s="338" t="s">
        <v>95</v>
      </c>
      <c r="I480" s="338">
        <v>0</v>
      </c>
      <c r="J480" s="338" t="s">
        <v>505</v>
      </c>
      <c r="K480" s="289" t="s">
        <v>1390</v>
      </c>
      <c r="L480" s="338"/>
      <c r="M480" s="386" t="s">
        <v>1132</v>
      </c>
      <c r="N480" s="338" t="s">
        <v>1331</v>
      </c>
      <c r="O480" s="409"/>
      <c r="P480" s="232"/>
      <c r="Q480" s="309">
        <v>2200000</v>
      </c>
      <c r="R480" s="309">
        <v>2200000</v>
      </c>
      <c r="S480" s="309">
        <v>2200000</v>
      </c>
      <c r="T480" s="309"/>
      <c r="U480" s="434"/>
      <c r="V480" s="438">
        <v>6600000</v>
      </c>
      <c r="W480" s="302">
        <f t="shared" ref="W480:W484" si="65">V480*1.12</f>
        <v>7392000.0000000009</v>
      </c>
      <c r="X480" s="231"/>
      <c r="Y480" s="294">
        <v>2015</v>
      </c>
      <c r="Z480" s="408"/>
      <c r="AD480" s="233"/>
      <c r="AE480" s="233"/>
      <c r="AF480" s="233"/>
      <c r="AG480" s="233"/>
    </row>
    <row r="481" spans="2:44" s="213" customFormat="1" ht="48" customHeight="1" x14ac:dyDescent="0.25">
      <c r="B481" s="160" t="s">
        <v>1594</v>
      </c>
      <c r="C481" s="355" t="s">
        <v>2</v>
      </c>
      <c r="D481" s="338" t="s">
        <v>1138</v>
      </c>
      <c r="E481" s="338" t="s">
        <v>1139</v>
      </c>
      <c r="F481" s="338" t="s">
        <v>1139</v>
      </c>
      <c r="G481" s="338" t="s">
        <v>1595</v>
      </c>
      <c r="H481" s="338" t="s">
        <v>95</v>
      </c>
      <c r="I481" s="338">
        <v>0</v>
      </c>
      <c r="J481" s="338" t="s">
        <v>505</v>
      </c>
      <c r="K481" s="289" t="s">
        <v>1596</v>
      </c>
      <c r="L481" s="338"/>
      <c r="M481" s="386" t="s">
        <v>1132</v>
      </c>
      <c r="N481" s="338" t="s">
        <v>1331</v>
      </c>
      <c r="O481" s="447"/>
      <c r="P481" s="295"/>
      <c r="Q481" s="315">
        <v>40000</v>
      </c>
      <c r="R481" s="315">
        <v>40000</v>
      </c>
      <c r="S481" s="315">
        <v>40000</v>
      </c>
      <c r="T481" s="315"/>
      <c r="U481" s="451"/>
      <c r="V481" s="443">
        <v>120000</v>
      </c>
      <c r="W481" s="317">
        <f t="shared" si="65"/>
        <v>134400</v>
      </c>
      <c r="X481" s="293"/>
      <c r="Y481" s="294">
        <v>2015</v>
      </c>
      <c r="Z481" s="411"/>
      <c r="AD481" s="233"/>
      <c r="AE481" s="233"/>
      <c r="AF481" s="233"/>
      <c r="AG481" s="233"/>
    </row>
    <row r="482" spans="2:44" s="213" customFormat="1" ht="48" customHeight="1" x14ac:dyDescent="0.25">
      <c r="B482" s="448" t="s">
        <v>1597</v>
      </c>
      <c r="C482" s="355" t="s">
        <v>2</v>
      </c>
      <c r="D482" s="338" t="s">
        <v>489</v>
      </c>
      <c r="E482" s="338" t="s">
        <v>1300</v>
      </c>
      <c r="F482" s="338" t="s">
        <v>1301</v>
      </c>
      <c r="G482" s="338" t="s">
        <v>1601</v>
      </c>
      <c r="H482" s="338" t="s">
        <v>95</v>
      </c>
      <c r="I482" s="338">
        <v>0</v>
      </c>
      <c r="J482" s="338" t="s">
        <v>505</v>
      </c>
      <c r="K482" s="289" t="s">
        <v>1603</v>
      </c>
      <c r="L482" s="338"/>
      <c r="M482" s="386" t="s">
        <v>1132</v>
      </c>
      <c r="N482" s="338" t="s">
        <v>1331</v>
      </c>
      <c r="O482" s="409"/>
      <c r="P482" s="232"/>
      <c r="Q482" s="315">
        <v>92500000</v>
      </c>
      <c r="R482" s="315">
        <v>92500000</v>
      </c>
      <c r="S482" s="309"/>
      <c r="T482" s="309"/>
      <c r="U482" s="434"/>
      <c r="V482" s="438">
        <v>185000000</v>
      </c>
      <c r="W482" s="302">
        <f t="shared" si="65"/>
        <v>207200000.00000003</v>
      </c>
      <c r="X482" s="231"/>
      <c r="Y482" s="294">
        <v>2015</v>
      </c>
      <c r="Z482" s="408"/>
      <c r="AD482" s="233"/>
      <c r="AE482" s="233"/>
      <c r="AF482" s="233"/>
      <c r="AG482" s="233"/>
    </row>
    <row r="483" spans="2:44" s="213" customFormat="1" ht="48" customHeight="1" x14ac:dyDescent="0.25">
      <c r="B483" s="160" t="s">
        <v>1598</v>
      </c>
      <c r="C483" s="355" t="s">
        <v>2</v>
      </c>
      <c r="D483" s="279" t="s">
        <v>489</v>
      </c>
      <c r="E483" s="279" t="s">
        <v>1300</v>
      </c>
      <c r="F483" s="279" t="s">
        <v>1301</v>
      </c>
      <c r="G483" s="279" t="s">
        <v>1602</v>
      </c>
      <c r="H483" s="279" t="s">
        <v>95</v>
      </c>
      <c r="I483" s="279">
        <v>0</v>
      </c>
      <c r="J483" s="279" t="s">
        <v>505</v>
      </c>
      <c r="K483" s="275" t="s">
        <v>1604</v>
      </c>
      <c r="L483" s="279"/>
      <c r="M483" s="283" t="s">
        <v>1132</v>
      </c>
      <c r="N483" s="279" t="s">
        <v>1331</v>
      </c>
      <c r="O483" s="409"/>
      <c r="P483" s="232"/>
      <c r="Q483" s="309">
        <v>29760000</v>
      </c>
      <c r="R483" s="309">
        <v>29760000</v>
      </c>
      <c r="S483" s="309"/>
      <c r="T483" s="309"/>
      <c r="U483" s="434"/>
      <c r="V483" s="438">
        <v>59520000</v>
      </c>
      <c r="W483" s="302">
        <f t="shared" si="65"/>
        <v>66662400.000000007</v>
      </c>
      <c r="X483" s="231"/>
      <c r="Y483" s="135">
        <v>2015</v>
      </c>
      <c r="Z483" s="408"/>
      <c r="AD483" s="233"/>
      <c r="AE483" s="233"/>
      <c r="AF483" s="233"/>
      <c r="AG483" s="233"/>
    </row>
    <row r="484" spans="2:44" s="213" customFormat="1" ht="48" customHeight="1" x14ac:dyDescent="0.25">
      <c r="B484" s="448" t="s">
        <v>1605</v>
      </c>
      <c r="C484" s="355" t="s">
        <v>2</v>
      </c>
      <c r="D484" s="279" t="s">
        <v>295</v>
      </c>
      <c r="E484" s="279" t="s">
        <v>296</v>
      </c>
      <c r="F484" s="279" t="s">
        <v>296</v>
      </c>
      <c r="G484" s="279" t="s">
        <v>1606</v>
      </c>
      <c r="H484" s="279" t="s">
        <v>95</v>
      </c>
      <c r="I484" s="279">
        <v>0</v>
      </c>
      <c r="J484" s="279" t="s">
        <v>505</v>
      </c>
      <c r="K484" s="275" t="s">
        <v>1607</v>
      </c>
      <c r="L484" s="279"/>
      <c r="M484" s="283" t="s">
        <v>1132</v>
      </c>
      <c r="N484" s="279" t="s">
        <v>1331</v>
      </c>
      <c r="O484" s="409"/>
      <c r="P484" s="232"/>
      <c r="Q484" s="309">
        <v>53984459</v>
      </c>
      <c r="R484" s="309">
        <v>53984459</v>
      </c>
      <c r="S484" s="309"/>
      <c r="T484" s="309"/>
      <c r="U484" s="434"/>
      <c r="V484" s="438">
        <v>107968918</v>
      </c>
      <c r="W484" s="302">
        <f t="shared" si="65"/>
        <v>120925188.16000001</v>
      </c>
      <c r="X484" s="231"/>
      <c r="Y484" s="135">
        <v>2015</v>
      </c>
      <c r="Z484" s="408"/>
      <c r="AD484" s="233"/>
      <c r="AE484" s="233"/>
      <c r="AF484" s="233"/>
      <c r="AG484" s="233"/>
    </row>
    <row r="485" spans="2:44" s="213" customFormat="1" ht="15.75" x14ac:dyDescent="0.25">
      <c r="B485" s="208" t="s">
        <v>168</v>
      </c>
      <c r="C485" s="388"/>
      <c r="D485" s="387"/>
      <c r="E485" s="388"/>
      <c r="F485" s="388"/>
      <c r="G485" s="388"/>
      <c r="H485" s="388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91">
        <f>SUM(V86:V484)</f>
        <v>120365294195.82088</v>
      </c>
      <c r="W485" s="76">
        <f>V485*1.12</f>
        <v>134809129499.3194</v>
      </c>
      <c r="X485" s="73"/>
      <c r="Y485" s="78"/>
      <c r="Z485" s="78"/>
      <c r="AD485" s="233"/>
      <c r="AE485" s="233"/>
      <c r="AF485" s="233"/>
      <c r="AG485" s="233"/>
    </row>
    <row r="486" spans="2:44" x14ac:dyDescent="0.25">
      <c r="B486" s="234" t="s">
        <v>934</v>
      </c>
      <c r="C486" s="235"/>
      <c r="D486" s="236"/>
      <c r="E486" s="237"/>
      <c r="F486" s="236"/>
      <c r="G486" s="237"/>
      <c r="H486" s="237"/>
      <c r="I486" s="236"/>
      <c r="J486" s="236"/>
      <c r="K486" s="236"/>
      <c r="L486" s="237"/>
      <c r="M486" s="237"/>
      <c r="N486" s="237"/>
      <c r="O486" s="236"/>
      <c r="P486" s="237"/>
      <c r="Q486" s="237"/>
      <c r="R486" s="236"/>
      <c r="S486" s="236"/>
      <c r="T486" s="238"/>
      <c r="U486" s="239"/>
      <c r="V486" s="239">
        <f>V52+V84+V485</f>
        <v>157922764177.42087</v>
      </c>
      <c r="W486" s="239">
        <f>V486*1.12</f>
        <v>176873495878.7114</v>
      </c>
      <c r="X486" s="236"/>
      <c r="Y486" s="242"/>
      <c r="Z486" s="242"/>
      <c r="AA486" s="241"/>
      <c r="AB486" s="241"/>
      <c r="AC486" s="241"/>
      <c r="AD486" s="241"/>
      <c r="AE486" s="241"/>
      <c r="AF486" s="241"/>
      <c r="AG486" s="241"/>
      <c r="AH486" s="241"/>
      <c r="AI486" s="241"/>
      <c r="AJ486" s="241"/>
      <c r="AK486" s="241"/>
      <c r="AL486" s="241"/>
      <c r="AM486" s="241"/>
      <c r="AN486" s="241"/>
      <c r="AO486" s="241"/>
      <c r="AP486" s="241"/>
      <c r="AQ486" s="241"/>
      <c r="AR486" s="241"/>
    </row>
    <row r="488" spans="2:44" x14ac:dyDescent="0.25">
      <c r="D488" s="248"/>
      <c r="E488" s="249"/>
      <c r="F488" s="249"/>
      <c r="G488" s="240"/>
      <c r="H488" s="240"/>
      <c r="I488" s="240"/>
      <c r="J488" s="249"/>
      <c r="K488" s="249"/>
      <c r="L488" s="249"/>
      <c r="M488" s="240"/>
      <c r="N488" s="249"/>
      <c r="O488" s="249"/>
      <c r="P488" s="240"/>
      <c r="Q488" s="250"/>
      <c r="R488" s="251"/>
      <c r="S488" s="252"/>
      <c r="T488" s="252"/>
      <c r="U488" s="252"/>
      <c r="V488" s="240"/>
      <c r="W488" s="240"/>
      <c r="X488" s="240"/>
      <c r="Y488" s="241"/>
      <c r="Z488" s="241"/>
      <c r="AA488" s="241"/>
      <c r="AB488" s="241"/>
      <c r="AC488" s="241"/>
      <c r="AD488" s="241"/>
    </row>
    <row r="489" spans="2:44" ht="18.75" x14ac:dyDescent="0.3">
      <c r="B489" s="47"/>
      <c r="C489" s="253" t="s">
        <v>937</v>
      </c>
      <c r="D489" s="253"/>
      <c r="E489" s="253"/>
      <c r="F489" s="254"/>
      <c r="G489" s="254"/>
      <c r="H489" s="254"/>
      <c r="I489" s="254"/>
      <c r="J489" s="254"/>
      <c r="K489" s="254"/>
      <c r="L489" s="254"/>
      <c r="M489" s="254"/>
      <c r="N489" s="254"/>
      <c r="O489" s="254"/>
      <c r="R489" s="254"/>
      <c r="S489" s="254"/>
      <c r="T489" s="254"/>
      <c r="U489" s="254"/>
      <c r="V489" s="254"/>
      <c r="W489" s="254"/>
      <c r="X489" s="254"/>
      <c r="Y489" s="254"/>
      <c r="Z489" s="254"/>
      <c r="AA489" s="254"/>
      <c r="AB489" s="61"/>
      <c r="AC489" s="61"/>
      <c r="AD489" s="61"/>
    </row>
    <row r="490" spans="2:44" ht="15.75" x14ac:dyDescent="0.25">
      <c r="B490" s="255"/>
      <c r="C490" s="256"/>
      <c r="D490" s="255"/>
      <c r="E490" s="255"/>
      <c r="F490" s="255"/>
      <c r="G490" s="255"/>
      <c r="H490" s="255"/>
      <c r="I490" s="255"/>
      <c r="J490" s="255"/>
      <c r="K490" s="255"/>
      <c r="L490" s="255"/>
      <c r="M490" s="255"/>
      <c r="N490" s="255"/>
      <c r="O490" s="255"/>
      <c r="R490" s="255"/>
      <c r="S490" s="255"/>
      <c r="T490" s="255"/>
      <c r="U490" s="255"/>
      <c r="V490" s="255"/>
      <c r="W490" s="255"/>
      <c r="X490" s="255"/>
      <c r="Y490" s="255"/>
      <c r="Z490" s="255"/>
      <c r="AA490" s="255"/>
      <c r="AB490" s="61"/>
      <c r="AC490" s="61"/>
      <c r="AD490" s="61"/>
    </row>
    <row r="491" spans="2:44" ht="15.75" x14ac:dyDescent="0.25">
      <c r="B491" s="47"/>
      <c r="C491" s="257" t="s">
        <v>938</v>
      </c>
      <c r="D491" s="258"/>
      <c r="E491" s="258"/>
      <c r="F491" s="258"/>
      <c r="G491" s="258"/>
      <c r="H491" s="258"/>
      <c r="I491" s="255"/>
      <c r="J491" s="258"/>
      <c r="K491" s="255"/>
      <c r="L491" s="255"/>
      <c r="M491" s="255"/>
      <c r="N491" s="255"/>
      <c r="O491" s="255"/>
      <c r="R491" s="255"/>
      <c r="S491" s="255"/>
      <c r="T491" s="255"/>
      <c r="U491" s="255"/>
      <c r="V491" s="255"/>
      <c r="W491" s="255"/>
      <c r="X491" s="255"/>
      <c r="Y491" s="255"/>
      <c r="Z491" s="255"/>
      <c r="AA491" s="254"/>
      <c r="AB491" s="47"/>
      <c r="AC491" s="47"/>
      <c r="AD491" s="47"/>
    </row>
    <row r="492" spans="2:44" ht="15.75" x14ac:dyDescent="0.25">
      <c r="B492" s="47"/>
      <c r="C492" s="256" t="s">
        <v>939</v>
      </c>
      <c r="D492" s="259"/>
      <c r="E492" s="259"/>
      <c r="F492" s="254"/>
      <c r="G492" s="254"/>
      <c r="H492" s="254"/>
      <c r="I492" s="259"/>
      <c r="J492" s="259"/>
      <c r="K492" s="254"/>
      <c r="L492" s="254"/>
      <c r="M492" s="254"/>
      <c r="N492" s="254"/>
      <c r="O492" s="254"/>
      <c r="R492" s="254"/>
      <c r="S492" s="254"/>
      <c r="T492" s="254"/>
      <c r="U492" s="254"/>
      <c r="V492" s="254"/>
      <c r="W492" s="254"/>
      <c r="X492" s="254"/>
      <c r="Y492" s="254"/>
      <c r="Z492" s="254"/>
      <c r="AA492" s="254"/>
      <c r="AB492" s="47"/>
      <c r="AC492" s="47"/>
      <c r="AD492" s="47"/>
    </row>
    <row r="493" spans="2:44" ht="15.75" x14ac:dyDescent="0.25">
      <c r="B493" s="47"/>
      <c r="C493" s="256" t="s">
        <v>940</v>
      </c>
      <c r="D493" s="254"/>
      <c r="E493" s="254"/>
      <c r="F493" s="254"/>
      <c r="G493" s="254"/>
      <c r="H493" s="254"/>
      <c r="I493" s="254"/>
      <c r="J493" s="254"/>
      <c r="K493" s="254"/>
      <c r="L493" s="254"/>
      <c r="M493" s="254"/>
      <c r="N493" s="254"/>
      <c r="O493" s="254"/>
      <c r="R493" s="254"/>
      <c r="S493" s="254"/>
      <c r="T493" s="254"/>
      <c r="U493" s="254"/>
      <c r="V493" s="254"/>
      <c r="W493" s="254"/>
      <c r="X493" s="254"/>
      <c r="Y493" s="254"/>
      <c r="Z493" s="254"/>
      <c r="AA493" s="254"/>
      <c r="AB493" s="47"/>
      <c r="AC493" s="47"/>
      <c r="AD493" s="47"/>
    </row>
    <row r="494" spans="2:44" ht="15.75" x14ac:dyDescent="0.25">
      <c r="B494" s="255"/>
      <c r="C494" s="256" t="s">
        <v>941</v>
      </c>
      <c r="D494" s="255"/>
      <c r="E494" s="255"/>
      <c r="F494" s="255"/>
      <c r="G494" s="255"/>
      <c r="H494" s="255"/>
      <c r="I494" s="255"/>
      <c r="J494" s="255"/>
      <c r="K494" s="255"/>
      <c r="L494" s="255"/>
      <c r="M494" s="255"/>
      <c r="N494" s="255"/>
      <c r="O494" s="255"/>
      <c r="R494" s="255"/>
      <c r="S494" s="255"/>
      <c r="T494" s="255"/>
      <c r="U494" s="255"/>
      <c r="V494" s="255"/>
      <c r="W494" s="255"/>
      <c r="X494" s="255"/>
      <c r="Y494" s="255"/>
      <c r="Z494" s="255"/>
      <c r="AA494" s="255"/>
      <c r="AB494" s="47"/>
      <c r="AC494" s="47"/>
      <c r="AD494" s="47"/>
    </row>
    <row r="495" spans="2:44" ht="15.75" x14ac:dyDescent="0.25">
      <c r="B495" s="47"/>
      <c r="C495" s="260" t="s">
        <v>942</v>
      </c>
      <c r="D495" s="261"/>
      <c r="E495" s="261"/>
      <c r="F495" s="261"/>
      <c r="G495" s="261"/>
      <c r="H495" s="255"/>
      <c r="I495" s="255"/>
      <c r="J495" s="255"/>
      <c r="K495" s="255"/>
      <c r="L495" s="255"/>
      <c r="M495" s="255"/>
      <c r="N495" s="255"/>
      <c r="O495" s="255"/>
      <c r="R495" s="255"/>
      <c r="S495" s="255"/>
      <c r="T495" s="255"/>
      <c r="U495" s="255"/>
      <c r="V495" s="255"/>
      <c r="W495" s="255"/>
      <c r="X495" s="255"/>
      <c r="Y495" s="255"/>
      <c r="Z495" s="255"/>
      <c r="AA495" s="254"/>
      <c r="AB495" s="47"/>
      <c r="AC495" s="47"/>
      <c r="AD495" s="47"/>
    </row>
    <row r="496" spans="2:44" ht="15.75" customHeight="1" x14ac:dyDescent="0.25">
      <c r="B496" s="262">
        <v>1</v>
      </c>
      <c r="C496" s="266" t="s">
        <v>943</v>
      </c>
      <c r="D496" s="266"/>
      <c r="E496" s="266"/>
      <c r="F496" s="266"/>
      <c r="G496" s="266"/>
      <c r="H496" s="266"/>
      <c r="I496" s="266"/>
      <c r="J496" s="266"/>
      <c r="K496" s="266"/>
      <c r="L496" s="266"/>
      <c r="M496" s="266"/>
      <c r="N496" s="266"/>
      <c r="O496" s="266"/>
      <c r="R496" s="266"/>
      <c r="S496" s="266"/>
      <c r="T496" s="266"/>
      <c r="U496" s="266"/>
      <c r="V496" s="266"/>
      <c r="W496" s="266"/>
      <c r="X496" s="266"/>
      <c r="Y496" s="266"/>
      <c r="Z496" s="417"/>
      <c r="AA496" s="256"/>
      <c r="AB496" s="47"/>
      <c r="AC496" s="47"/>
      <c r="AD496" s="47"/>
    </row>
    <row r="497" spans="2:30" ht="15.75" x14ac:dyDescent="0.25">
      <c r="B497" s="262"/>
      <c r="C497" s="263" t="s">
        <v>944</v>
      </c>
      <c r="D497" s="417"/>
      <c r="E497" s="417"/>
      <c r="F497" s="417"/>
      <c r="G497" s="417"/>
      <c r="H497" s="417"/>
      <c r="I497" s="417"/>
      <c r="J497" s="417"/>
      <c r="K497" s="417"/>
      <c r="L497" s="417"/>
      <c r="M497" s="417"/>
      <c r="N497" s="417"/>
      <c r="O497" s="417"/>
      <c r="R497" s="417"/>
      <c r="S497" s="417"/>
      <c r="T497" s="417"/>
      <c r="U497" s="417"/>
      <c r="V497" s="417"/>
      <c r="W497" s="417"/>
      <c r="X497" s="417"/>
      <c r="Y497" s="417"/>
      <c r="Z497" s="417"/>
      <c r="AA497" s="256"/>
      <c r="AB497" s="47"/>
      <c r="AC497" s="47"/>
      <c r="AD497" s="47"/>
    </row>
    <row r="498" spans="2:30" ht="15.75" x14ac:dyDescent="0.25">
      <c r="B498" s="262"/>
      <c r="C498" s="264" t="s">
        <v>945</v>
      </c>
      <c r="D498" s="417"/>
      <c r="E498" s="417"/>
      <c r="F498" s="417"/>
      <c r="G498" s="417"/>
      <c r="H498" s="417"/>
      <c r="I498" s="417"/>
      <c r="J498" s="417"/>
      <c r="K498" s="417"/>
      <c r="L498" s="417"/>
      <c r="M498" s="417"/>
      <c r="N498" s="417"/>
      <c r="O498" s="417"/>
      <c r="R498" s="417"/>
      <c r="S498" s="417"/>
      <c r="T498" s="417"/>
      <c r="U498" s="417"/>
      <c r="V498" s="417"/>
      <c r="W498" s="417"/>
      <c r="X498" s="417"/>
      <c r="Y498" s="417"/>
      <c r="Z498" s="417"/>
      <c r="AA498" s="256"/>
      <c r="AB498" s="47"/>
      <c r="AC498" s="47"/>
      <c r="AD498" s="47"/>
    </row>
    <row r="499" spans="2:30" ht="15.75" x14ac:dyDescent="0.25">
      <c r="B499" s="262"/>
      <c r="C499" s="265" t="s">
        <v>946</v>
      </c>
      <c r="D499" s="266"/>
      <c r="E499" s="266"/>
      <c r="F499" s="266"/>
      <c r="G499" s="266"/>
      <c r="H499" s="266"/>
      <c r="I499" s="266"/>
      <c r="J499" s="266"/>
      <c r="K499" s="266"/>
      <c r="L499" s="417"/>
      <c r="M499" s="417"/>
      <c r="N499" s="417"/>
      <c r="O499" s="417"/>
      <c r="R499" s="417"/>
      <c r="S499" s="417"/>
      <c r="T499" s="417"/>
      <c r="U499" s="417"/>
      <c r="V499" s="417"/>
      <c r="W499" s="417"/>
      <c r="X499" s="417"/>
      <c r="Y499" s="417"/>
      <c r="Z499" s="417"/>
      <c r="AA499" s="256"/>
      <c r="AB499" s="47"/>
      <c r="AC499" s="47"/>
      <c r="AD499" s="47"/>
    </row>
    <row r="500" spans="2:30" ht="15.75" x14ac:dyDescent="0.25">
      <c r="B500" s="262"/>
      <c r="C500" s="267" t="s">
        <v>947</v>
      </c>
      <c r="D500" s="266"/>
      <c r="E500" s="266"/>
      <c r="F500" s="266"/>
      <c r="G500" s="266"/>
      <c r="H500" s="266"/>
      <c r="I500" s="266"/>
      <c r="J500" s="266"/>
      <c r="K500" s="266"/>
      <c r="L500" s="417"/>
      <c r="M500" s="417"/>
      <c r="N500" s="417"/>
      <c r="O500" s="417"/>
      <c r="R500" s="417"/>
      <c r="S500" s="417"/>
      <c r="T500" s="417"/>
      <c r="U500" s="417"/>
      <c r="V500" s="417"/>
      <c r="W500" s="417"/>
      <c r="X500" s="417"/>
      <c r="Y500" s="417"/>
      <c r="Z500" s="417"/>
      <c r="AA500" s="256"/>
      <c r="AB500" s="47"/>
      <c r="AC500" s="47"/>
      <c r="AD500" s="47"/>
    </row>
    <row r="501" spans="2:30" ht="15.75" x14ac:dyDescent="0.25">
      <c r="B501" s="262"/>
      <c r="C501" s="267" t="s">
        <v>948</v>
      </c>
      <c r="D501" s="266"/>
      <c r="E501" s="266"/>
      <c r="F501" s="266"/>
      <c r="G501" s="266"/>
      <c r="H501" s="266"/>
      <c r="I501" s="266"/>
      <c r="J501" s="266"/>
      <c r="K501" s="266"/>
      <c r="L501" s="417"/>
      <c r="M501" s="417"/>
      <c r="N501" s="417"/>
      <c r="O501" s="417"/>
      <c r="R501" s="417"/>
      <c r="S501" s="417"/>
      <c r="T501" s="417"/>
      <c r="U501" s="417"/>
      <c r="V501" s="417"/>
      <c r="W501" s="417"/>
      <c r="X501" s="417"/>
      <c r="Y501" s="417"/>
      <c r="Z501" s="417"/>
      <c r="AA501" s="256"/>
      <c r="AB501" s="47"/>
      <c r="AC501" s="47"/>
      <c r="AD501" s="47"/>
    </row>
    <row r="502" spans="2:30" ht="15.75" x14ac:dyDescent="0.25">
      <c r="B502" s="262"/>
      <c r="C502" s="264" t="s">
        <v>949</v>
      </c>
      <c r="D502" s="417"/>
      <c r="E502" s="417"/>
      <c r="F502" s="417"/>
      <c r="G502" s="417"/>
      <c r="H502" s="417"/>
      <c r="I502" s="417"/>
      <c r="J502" s="417"/>
      <c r="K502" s="417"/>
      <c r="L502" s="417"/>
      <c r="M502" s="417"/>
      <c r="N502" s="417"/>
      <c r="O502" s="417"/>
      <c r="R502" s="417"/>
      <c r="S502" s="417"/>
      <c r="T502" s="417"/>
      <c r="U502" s="417"/>
      <c r="V502" s="417"/>
      <c r="W502" s="417"/>
      <c r="X502" s="417"/>
      <c r="Y502" s="417"/>
      <c r="Z502" s="417"/>
      <c r="AA502" s="256"/>
      <c r="AB502" s="47"/>
      <c r="AC502" s="47"/>
      <c r="AD502" s="47"/>
    </row>
    <row r="503" spans="2:30" ht="15.75" x14ac:dyDescent="0.25">
      <c r="B503" s="255"/>
      <c r="C503" s="268" t="s">
        <v>950</v>
      </c>
      <c r="D503" s="269"/>
      <c r="E503" s="269"/>
      <c r="F503" s="269"/>
      <c r="G503" s="269"/>
      <c r="H503" s="269"/>
      <c r="I503" s="269"/>
      <c r="J503" s="269"/>
      <c r="K503" s="269"/>
      <c r="L503" s="269"/>
      <c r="M503" s="269"/>
      <c r="N503" s="269"/>
      <c r="O503" s="269"/>
      <c r="R503" s="269"/>
      <c r="S503" s="269"/>
      <c r="T503" s="269"/>
      <c r="U503" s="269"/>
      <c r="V503" s="269"/>
      <c r="W503" s="269"/>
      <c r="X503" s="269"/>
      <c r="Y503" s="269"/>
      <c r="Z503" s="269"/>
      <c r="AA503" s="256"/>
      <c r="AB503" s="47"/>
      <c r="AC503" s="47"/>
      <c r="AD503" s="47"/>
    </row>
    <row r="504" spans="2:30" ht="15.75" x14ac:dyDescent="0.25">
      <c r="B504" s="255"/>
      <c r="C504" s="257" t="s">
        <v>951</v>
      </c>
      <c r="D504" s="419"/>
      <c r="E504" s="419"/>
      <c r="F504" s="419"/>
      <c r="G504" s="419"/>
      <c r="H504" s="419"/>
      <c r="I504" s="419"/>
      <c r="J504" s="419"/>
      <c r="K504" s="419"/>
      <c r="L504" s="419"/>
      <c r="M504" s="419"/>
      <c r="N504" s="419"/>
      <c r="O504" s="419"/>
      <c r="R504" s="419"/>
      <c r="S504" s="419"/>
      <c r="T504" s="419"/>
      <c r="U504" s="419"/>
      <c r="V504" s="419"/>
      <c r="W504" s="419"/>
      <c r="X504" s="419"/>
      <c r="Y504" s="419"/>
      <c r="Z504" s="419"/>
      <c r="AA504" s="256"/>
      <c r="AB504" s="47"/>
      <c r="AC504" s="47"/>
      <c r="AD504" s="47"/>
    </row>
    <row r="505" spans="2:30" ht="15.75" customHeight="1" x14ac:dyDescent="0.25">
      <c r="B505" s="255"/>
      <c r="C505" s="419" t="s">
        <v>952</v>
      </c>
      <c r="D505" s="419"/>
      <c r="E505" s="419"/>
      <c r="F505" s="419"/>
      <c r="G505" s="419"/>
      <c r="H505" s="419"/>
      <c r="I505" s="419"/>
      <c r="J505" s="419"/>
      <c r="K505" s="419"/>
      <c r="L505" s="419"/>
      <c r="M505" s="419"/>
      <c r="N505" s="419"/>
      <c r="O505" s="419"/>
      <c r="R505" s="419"/>
      <c r="S505" s="419"/>
      <c r="T505" s="419"/>
      <c r="U505" s="419"/>
      <c r="V505" s="419"/>
      <c r="W505" s="419"/>
      <c r="X505" s="419"/>
      <c r="Y505" s="419"/>
      <c r="Z505" s="418"/>
      <c r="AA505" s="256"/>
      <c r="AB505" s="47"/>
      <c r="AC505" s="47"/>
      <c r="AD505" s="47"/>
    </row>
    <row r="506" spans="2:30" ht="15.75" x14ac:dyDescent="0.25">
      <c r="B506" s="255"/>
      <c r="C506" s="270" t="s">
        <v>953</v>
      </c>
      <c r="D506" s="271"/>
      <c r="E506" s="418"/>
      <c r="F506" s="418"/>
      <c r="G506" s="418"/>
      <c r="H506" s="418"/>
      <c r="I506" s="418"/>
      <c r="J506" s="418"/>
      <c r="K506" s="418"/>
      <c r="L506" s="418"/>
      <c r="M506" s="418"/>
      <c r="N506" s="418"/>
      <c r="O506" s="418"/>
      <c r="R506" s="418"/>
      <c r="S506" s="418"/>
      <c r="T506" s="418"/>
      <c r="U506" s="418"/>
      <c r="V506" s="418"/>
      <c r="W506" s="418"/>
      <c r="X506" s="418"/>
      <c r="Y506" s="418"/>
      <c r="Z506" s="418"/>
      <c r="AA506" s="256"/>
      <c r="AB506" s="47"/>
      <c r="AC506" s="47"/>
      <c r="AD506" s="47"/>
    </row>
    <row r="507" spans="2:30" ht="15.75" x14ac:dyDescent="0.25">
      <c r="B507" s="255"/>
      <c r="C507" s="272" t="s">
        <v>954</v>
      </c>
      <c r="D507" s="418"/>
      <c r="E507" s="418"/>
      <c r="F507" s="418"/>
      <c r="G507" s="418"/>
      <c r="H507" s="418"/>
      <c r="I507" s="418"/>
      <c r="J507" s="418"/>
      <c r="K507" s="418"/>
      <c r="L507" s="418"/>
      <c r="M507" s="418"/>
      <c r="N507" s="418"/>
      <c r="O507" s="418"/>
      <c r="R507" s="418"/>
      <c r="S507" s="418"/>
      <c r="T507" s="418"/>
      <c r="U507" s="418"/>
      <c r="V507" s="418"/>
      <c r="W507" s="418"/>
      <c r="X507" s="418"/>
      <c r="Y507" s="418"/>
      <c r="Z507" s="418"/>
      <c r="AA507" s="256"/>
      <c r="AB507" s="47"/>
      <c r="AC507" s="47"/>
      <c r="AD507" s="47"/>
    </row>
    <row r="508" spans="2:30" ht="15.75" customHeight="1" x14ac:dyDescent="0.25">
      <c r="B508" s="255"/>
      <c r="C508" s="419" t="s">
        <v>955</v>
      </c>
      <c r="D508" s="419"/>
      <c r="E508" s="419"/>
      <c r="F508" s="419"/>
      <c r="G508" s="419"/>
      <c r="H508" s="419"/>
      <c r="I508" s="419"/>
      <c r="J508" s="419"/>
      <c r="K508" s="419"/>
      <c r="L508" s="419"/>
      <c r="M508" s="419"/>
      <c r="N508" s="419"/>
      <c r="O508" s="419"/>
      <c r="R508" s="419"/>
      <c r="S508" s="419"/>
      <c r="T508" s="419"/>
      <c r="U508" s="419"/>
      <c r="V508" s="419"/>
      <c r="W508" s="419"/>
      <c r="X508" s="419"/>
      <c r="Y508" s="419"/>
      <c r="Z508" s="419"/>
      <c r="AA508" s="256"/>
      <c r="AB508" s="47"/>
      <c r="AC508" s="47"/>
      <c r="AD508" s="47"/>
    </row>
    <row r="509" spans="2:30" ht="15.75" x14ac:dyDescent="0.25">
      <c r="B509" s="255"/>
      <c r="C509" s="273" t="s">
        <v>956</v>
      </c>
      <c r="D509" s="273"/>
      <c r="E509" s="273"/>
      <c r="F509" s="273"/>
      <c r="G509" s="273"/>
      <c r="H509" s="273"/>
      <c r="I509" s="273"/>
      <c r="J509" s="273"/>
      <c r="K509" s="419"/>
      <c r="L509" s="419"/>
      <c r="M509" s="419"/>
      <c r="N509" s="419"/>
      <c r="O509" s="419"/>
      <c r="R509" s="419"/>
      <c r="S509" s="419"/>
      <c r="T509" s="419"/>
      <c r="U509" s="419"/>
      <c r="V509" s="419"/>
      <c r="W509" s="419"/>
      <c r="X509" s="419"/>
      <c r="Y509" s="419"/>
      <c r="Z509" s="419"/>
      <c r="AA509" s="419"/>
      <c r="AB509" s="47"/>
      <c r="AC509" s="47"/>
      <c r="AD509" s="47"/>
    </row>
    <row r="510" spans="2:30" ht="15.75" x14ac:dyDescent="0.25">
      <c r="B510" s="262">
        <v>2</v>
      </c>
      <c r="C510" s="256" t="s">
        <v>957</v>
      </c>
      <c r="D510" s="256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R510" s="256"/>
      <c r="S510" s="256"/>
      <c r="T510" s="256"/>
      <c r="U510" s="256"/>
      <c r="V510" s="256"/>
      <c r="W510" s="256"/>
      <c r="X510" s="256"/>
      <c r="Y510" s="256"/>
      <c r="Z510" s="256"/>
      <c r="AA510" s="256"/>
      <c r="AB510" s="47"/>
      <c r="AC510" s="47"/>
      <c r="AD510" s="47"/>
    </row>
    <row r="511" spans="2:30" ht="15.75" x14ac:dyDescent="0.25">
      <c r="B511" s="262">
        <v>3</v>
      </c>
      <c r="C511" s="256" t="s">
        <v>958</v>
      </c>
      <c r="D511" s="256"/>
      <c r="E511" s="256"/>
      <c r="F511" s="256"/>
      <c r="G511" s="256"/>
      <c r="H511" s="256"/>
      <c r="I511" s="256"/>
      <c r="J511" s="256"/>
      <c r="K511" s="256"/>
      <c r="L511" s="256"/>
      <c r="M511" s="256"/>
      <c r="N511" s="256"/>
      <c r="O511" s="256"/>
      <c r="R511" s="256"/>
      <c r="S511" s="256"/>
      <c r="T511" s="256"/>
      <c r="U511" s="256"/>
      <c r="V511" s="256"/>
      <c r="W511" s="256"/>
      <c r="X511" s="256"/>
      <c r="Y511" s="256"/>
      <c r="Z511" s="256"/>
      <c r="AA511" s="256"/>
      <c r="AB511" s="47"/>
      <c r="AC511" s="47"/>
      <c r="AD511" s="47"/>
    </row>
    <row r="512" spans="2:30" ht="15.75" x14ac:dyDescent="0.25">
      <c r="B512" s="262">
        <v>4</v>
      </c>
      <c r="C512" s="256" t="s">
        <v>959</v>
      </c>
      <c r="D512" s="256"/>
      <c r="E512" s="256"/>
      <c r="F512" s="256"/>
      <c r="G512" s="256"/>
      <c r="H512" s="256"/>
      <c r="I512" s="256"/>
      <c r="J512" s="256"/>
      <c r="K512" s="256"/>
      <c r="L512" s="256"/>
      <c r="M512" s="256"/>
      <c r="N512" s="256"/>
      <c r="O512" s="256"/>
      <c r="R512" s="256"/>
      <c r="S512" s="256"/>
      <c r="T512" s="256"/>
      <c r="U512" s="256"/>
      <c r="V512" s="256"/>
      <c r="W512" s="256"/>
      <c r="X512" s="256"/>
      <c r="Y512" s="256"/>
      <c r="Z512" s="256"/>
      <c r="AA512" s="256"/>
      <c r="AB512" s="47"/>
      <c r="AC512" s="47"/>
      <c r="AD512" s="47"/>
    </row>
    <row r="513" spans="2:30" ht="15.75" customHeight="1" x14ac:dyDescent="0.25">
      <c r="B513" s="262">
        <v>5</v>
      </c>
      <c r="C513" s="266" t="s">
        <v>960</v>
      </c>
      <c r="D513" s="266"/>
      <c r="E513" s="266"/>
      <c r="F513" s="266"/>
      <c r="G513" s="266"/>
      <c r="H513" s="266"/>
      <c r="I513" s="266"/>
      <c r="J513" s="266"/>
      <c r="K513" s="266"/>
      <c r="L513" s="266"/>
      <c r="M513" s="266"/>
      <c r="N513" s="266"/>
      <c r="O513" s="266"/>
      <c r="R513" s="266"/>
      <c r="S513" s="266"/>
      <c r="T513" s="266"/>
      <c r="U513" s="266"/>
      <c r="V513" s="266"/>
      <c r="W513" s="266"/>
      <c r="X513" s="266"/>
      <c r="Y513" s="266"/>
      <c r="Z513" s="266"/>
      <c r="AA513" s="266"/>
      <c r="AB513" s="47"/>
      <c r="AC513" s="47"/>
      <c r="AD513" s="47"/>
    </row>
    <row r="514" spans="2:30" ht="15.75" customHeight="1" x14ac:dyDescent="0.25">
      <c r="B514" s="262">
        <v>6</v>
      </c>
      <c r="C514" s="420" t="s">
        <v>961</v>
      </c>
      <c r="D514" s="420"/>
      <c r="E514" s="420"/>
      <c r="F514" s="420"/>
      <c r="G514" s="420"/>
      <c r="H514" s="420"/>
      <c r="I514" s="420"/>
      <c r="J514" s="420"/>
      <c r="K514" s="420"/>
      <c r="L514" s="420"/>
      <c r="M514" s="420"/>
      <c r="N514" s="420"/>
      <c r="O514" s="420"/>
      <c r="R514" s="420"/>
      <c r="S514" s="420"/>
      <c r="T514" s="420"/>
      <c r="U514" s="420"/>
      <c r="V514" s="420"/>
      <c r="W514" s="420"/>
      <c r="X514" s="420"/>
      <c r="Y514" s="420"/>
      <c r="Z514" s="420"/>
      <c r="AA514" s="420"/>
      <c r="AB514" s="47"/>
      <c r="AC514" s="47"/>
      <c r="AD514" s="47"/>
    </row>
    <row r="515" spans="2:30" ht="15.75" x14ac:dyDescent="0.25">
      <c r="B515" s="262">
        <v>7</v>
      </c>
      <c r="C515" s="274" t="s">
        <v>962</v>
      </c>
      <c r="D515" s="274"/>
      <c r="E515" s="274"/>
      <c r="F515" s="274"/>
      <c r="G515" s="274"/>
      <c r="H515" s="274"/>
      <c r="I515" s="274"/>
      <c r="J515" s="274"/>
      <c r="K515" s="274"/>
      <c r="L515" s="274"/>
      <c r="M515" s="274"/>
      <c r="N515" s="274"/>
      <c r="O515" s="274"/>
      <c r="R515" s="274"/>
      <c r="S515" s="274"/>
      <c r="T515" s="274"/>
      <c r="U515" s="274"/>
      <c r="V515" s="274"/>
      <c r="W515" s="274"/>
      <c r="X515" s="274"/>
      <c r="Y515" s="274"/>
      <c r="Z515" s="274"/>
      <c r="AA515" s="274"/>
      <c r="AB515" s="244"/>
      <c r="AC515" s="244"/>
      <c r="AD515" s="244"/>
    </row>
    <row r="516" spans="2:30" ht="15.75" x14ac:dyDescent="0.25">
      <c r="B516" s="262">
        <v>8</v>
      </c>
      <c r="C516" s="256" t="s">
        <v>963</v>
      </c>
      <c r="D516" s="256"/>
      <c r="E516" s="256"/>
      <c r="F516" s="256"/>
      <c r="G516" s="256"/>
      <c r="H516" s="256"/>
      <c r="I516" s="256"/>
      <c r="J516" s="256"/>
      <c r="K516" s="256"/>
      <c r="L516" s="256"/>
      <c r="M516" s="256"/>
      <c r="N516" s="256"/>
      <c r="O516" s="256"/>
      <c r="R516" s="256"/>
      <c r="S516" s="256"/>
      <c r="T516" s="256"/>
      <c r="U516" s="256"/>
      <c r="V516" s="256"/>
      <c r="W516" s="256"/>
      <c r="X516" s="256"/>
      <c r="Y516" s="256"/>
      <c r="Z516" s="256"/>
      <c r="AA516" s="256"/>
      <c r="AB516" s="47"/>
      <c r="AC516" s="47"/>
      <c r="AD516" s="47"/>
    </row>
    <row r="517" spans="2:30" ht="15.75" customHeight="1" x14ac:dyDescent="0.25">
      <c r="B517" s="262">
        <v>9</v>
      </c>
      <c r="C517" s="420" t="s">
        <v>964</v>
      </c>
      <c r="D517" s="420"/>
      <c r="E517" s="420"/>
      <c r="F517" s="420"/>
      <c r="G517" s="420"/>
      <c r="H517" s="420"/>
      <c r="I517" s="420"/>
      <c r="J517" s="420"/>
      <c r="K517" s="420"/>
      <c r="L517" s="420"/>
      <c r="M517" s="420"/>
      <c r="N517" s="420"/>
      <c r="O517" s="420"/>
      <c r="R517" s="420"/>
      <c r="S517" s="420"/>
      <c r="T517" s="420"/>
      <c r="U517" s="420"/>
      <c r="V517" s="420"/>
      <c r="W517" s="420"/>
      <c r="X517" s="420"/>
      <c r="Y517" s="420"/>
      <c r="Z517" s="420"/>
      <c r="AA517" s="420"/>
      <c r="AB517" s="420"/>
      <c r="AC517" s="420"/>
      <c r="AD517" s="420"/>
    </row>
    <row r="518" spans="2:30" ht="15.75" customHeight="1" x14ac:dyDescent="0.25">
      <c r="B518" s="262">
        <v>10</v>
      </c>
      <c r="C518" s="266" t="s">
        <v>965</v>
      </c>
      <c r="D518" s="266"/>
      <c r="E518" s="266"/>
      <c r="F518" s="266"/>
      <c r="G518" s="266"/>
      <c r="H518" s="266"/>
      <c r="I518" s="266"/>
      <c r="J518" s="266"/>
      <c r="K518" s="266"/>
      <c r="L518" s="266"/>
      <c r="M518" s="266"/>
      <c r="N518" s="256"/>
      <c r="O518" s="256"/>
      <c r="R518" s="256"/>
      <c r="S518" s="256"/>
      <c r="T518" s="256"/>
      <c r="U518" s="256"/>
      <c r="V518" s="256"/>
      <c r="W518" s="256"/>
      <c r="X518" s="256"/>
      <c r="Y518" s="256"/>
      <c r="Z518" s="256"/>
      <c r="AA518" s="256"/>
      <c r="AB518" s="47"/>
      <c r="AC518" s="47"/>
      <c r="AD518" s="47"/>
    </row>
    <row r="519" spans="2:30" ht="15.75" x14ac:dyDescent="0.25">
      <c r="B519" s="262"/>
      <c r="C519" s="266"/>
      <c r="D519" s="266"/>
      <c r="E519" s="266"/>
      <c r="F519" s="266"/>
      <c r="G519" s="266"/>
      <c r="H519" s="266"/>
      <c r="I519" s="266"/>
      <c r="J519" s="266"/>
      <c r="K519" s="266"/>
      <c r="L519" s="266"/>
      <c r="M519" s="266"/>
      <c r="N519" s="256"/>
      <c r="O519" s="256"/>
      <c r="R519" s="256"/>
      <c r="S519" s="256"/>
      <c r="T519" s="256"/>
      <c r="U519" s="256"/>
      <c r="V519" s="256"/>
      <c r="W519" s="256"/>
      <c r="X519" s="256"/>
      <c r="Y519" s="256"/>
      <c r="Z519" s="256"/>
      <c r="AA519" s="256"/>
      <c r="AB519" s="47"/>
      <c r="AC519" s="47"/>
      <c r="AD519" s="47"/>
    </row>
    <row r="520" spans="2:30" ht="15.75" customHeight="1" x14ac:dyDescent="0.25">
      <c r="B520" s="262">
        <v>11</v>
      </c>
      <c r="C520" s="266" t="s">
        <v>966</v>
      </c>
      <c r="D520" s="266"/>
      <c r="E520" s="266"/>
      <c r="F520" s="266"/>
      <c r="G520" s="266"/>
      <c r="H520" s="266"/>
      <c r="I520" s="266"/>
      <c r="J520" s="266"/>
      <c r="K520" s="266"/>
      <c r="L520" s="266"/>
      <c r="M520" s="266"/>
      <c r="N520" s="256"/>
      <c r="O520" s="256"/>
      <c r="R520" s="256"/>
      <c r="S520" s="256"/>
      <c r="T520" s="256"/>
      <c r="U520" s="256"/>
      <c r="V520" s="256"/>
      <c r="W520" s="256"/>
      <c r="X520" s="256"/>
      <c r="Y520" s="256"/>
      <c r="Z520" s="256"/>
      <c r="AA520" s="256"/>
      <c r="AB520" s="47"/>
      <c r="AC520" s="47"/>
      <c r="AD520" s="47"/>
    </row>
    <row r="521" spans="2:30" ht="15.75" customHeight="1" x14ac:dyDescent="0.25">
      <c r="B521" s="262">
        <v>12</v>
      </c>
      <c r="C521" s="266" t="s">
        <v>967</v>
      </c>
      <c r="D521" s="266"/>
      <c r="E521" s="266"/>
      <c r="F521" s="266"/>
      <c r="G521" s="266"/>
      <c r="H521" s="266"/>
      <c r="I521" s="266"/>
      <c r="J521" s="266"/>
      <c r="K521" s="266"/>
      <c r="L521" s="266"/>
      <c r="M521" s="266"/>
      <c r="N521" s="266"/>
      <c r="O521" s="266"/>
      <c r="R521" s="266"/>
      <c r="S521" s="266"/>
      <c r="T521" s="266"/>
      <c r="U521" s="266"/>
      <c r="V521" s="266"/>
      <c r="W521" s="266"/>
      <c r="X521" s="266"/>
      <c r="Y521" s="266"/>
      <c r="Z521" s="266"/>
      <c r="AA521" s="266"/>
      <c r="AB521" s="47"/>
      <c r="AC521" s="47"/>
      <c r="AD521" s="47"/>
    </row>
    <row r="522" spans="2:30" ht="15.75" x14ac:dyDescent="0.25">
      <c r="B522" s="262">
        <v>13</v>
      </c>
      <c r="C522" s="256" t="s">
        <v>968</v>
      </c>
      <c r="D522" s="256"/>
      <c r="E522" s="256"/>
      <c r="F522" s="256"/>
      <c r="G522" s="256"/>
      <c r="H522" s="256"/>
      <c r="I522" s="256"/>
      <c r="J522" s="274"/>
      <c r="K522" s="256"/>
      <c r="L522" s="256"/>
      <c r="M522" s="256"/>
      <c r="N522" s="256"/>
      <c r="O522" s="256"/>
      <c r="R522" s="256"/>
      <c r="S522" s="256"/>
      <c r="T522" s="256"/>
      <c r="U522" s="256"/>
      <c r="V522" s="256"/>
      <c r="W522" s="256"/>
      <c r="X522" s="256"/>
      <c r="Y522" s="256"/>
      <c r="Z522" s="256"/>
      <c r="AA522" s="256"/>
      <c r="AB522" s="47"/>
      <c r="AC522" s="47"/>
      <c r="AD522" s="47"/>
    </row>
    <row r="523" spans="2:30" ht="15.75" x14ac:dyDescent="0.25">
      <c r="B523" s="262">
        <v>14</v>
      </c>
      <c r="C523" s="256" t="s">
        <v>969</v>
      </c>
      <c r="D523" s="256"/>
      <c r="E523" s="256"/>
      <c r="F523" s="256"/>
      <c r="G523" s="256"/>
      <c r="H523" s="256"/>
      <c r="I523" s="256"/>
      <c r="J523" s="256"/>
      <c r="K523" s="256"/>
      <c r="L523" s="256"/>
      <c r="M523" s="256"/>
      <c r="N523" s="256"/>
      <c r="O523" s="256"/>
      <c r="R523" s="256"/>
      <c r="S523" s="256"/>
      <c r="T523" s="256"/>
      <c r="U523" s="256"/>
      <c r="V523" s="256"/>
      <c r="W523" s="256"/>
      <c r="X523" s="256"/>
      <c r="Y523" s="256"/>
      <c r="Z523" s="256"/>
      <c r="AA523" s="256"/>
      <c r="AB523" s="47"/>
      <c r="AC523" s="47"/>
      <c r="AD523" s="47"/>
    </row>
    <row r="524" spans="2:30" ht="15.75" x14ac:dyDescent="0.25">
      <c r="B524" s="262">
        <v>15</v>
      </c>
      <c r="C524" s="256" t="s">
        <v>970</v>
      </c>
      <c r="D524" s="256"/>
      <c r="E524" s="256"/>
      <c r="F524" s="256"/>
      <c r="G524" s="256"/>
      <c r="H524" s="256"/>
      <c r="I524" s="256"/>
      <c r="J524" s="256"/>
      <c r="K524" s="256"/>
      <c r="L524" s="256"/>
      <c r="M524" s="256"/>
      <c r="N524" s="256"/>
      <c r="O524" s="256"/>
      <c r="R524" s="256"/>
      <c r="S524" s="256"/>
      <c r="T524" s="256"/>
      <c r="U524" s="256"/>
      <c r="V524" s="256"/>
      <c r="W524" s="256"/>
      <c r="X524" s="256"/>
      <c r="Y524" s="256"/>
      <c r="Z524" s="256"/>
      <c r="AA524" s="256"/>
      <c r="AB524" s="47"/>
      <c r="AC524" s="47"/>
      <c r="AD524" s="47"/>
    </row>
    <row r="525" spans="2:30" ht="15.75" x14ac:dyDescent="0.25">
      <c r="B525" s="262">
        <v>16.170000000000002</v>
      </c>
      <c r="C525" s="256" t="s">
        <v>971</v>
      </c>
      <c r="D525" s="256"/>
      <c r="E525" s="256"/>
      <c r="F525" s="256"/>
      <c r="G525" s="256"/>
      <c r="H525" s="256"/>
      <c r="I525" s="256"/>
      <c r="J525" s="256"/>
      <c r="K525" s="256"/>
      <c r="L525" s="417"/>
      <c r="M525" s="417"/>
      <c r="N525" s="256"/>
      <c r="O525" s="256"/>
      <c r="R525" s="256"/>
      <c r="S525" s="256"/>
      <c r="T525" s="256"/>
      <c r="U525" s="256"/>
      <c r="V525" s="256"/>
      <c r="W525" s="256"/>
      <c r="X525" s="256"/>
      <c r="Y525" s="256"/>
      <c r="Z525" s="256"/>
      <c r="AA525" s="256"/>
      <c r="AB525" s="47"/>
      <c r="AC525" s="47"/>
      <c r="AD525" s="47"/>
    </row>
    <row r="526" spans="2:30" ht="15.75" customHeight="1" x14ac:dyDescent="0.25">
      <c r="B526" s="262">
        <v>18</v>
      </c>
      <c r="C526" s="266" t="s">
        <v>972</v>
      </c>
      <c r="D526" s="266"/>
      <c r="E526" s="266"/>
      <c r="F526" s="266"/>
      <c r="G526" s="266"/>
      <c r="H526" s="266"/>
      <c r="I526" s="266"/>
      <c r="J526" s="266"/>
      <c r="K526" s="266"/>
      <c r="L526" s="266"/>
      <c r="M526" s="266"/>
      <c r="N526" s="266"/>
      <c r="O526" s="266"/>
      <c r="R526" s="266"/>
      <c r="S526" s="266"/>
      <c r="T526" s="266"/>
      <c r="U526" s="266"/>
      <c r="V526" s="266"/>
      <c r="W526" s="266"/>
      <c r="X526" s="266"/>
      <c r="Y526" s="266"/>
      <c r="Z526" s="266"/>
      <c r="AA526" s="266"/>
      <c r="AB526" s="266"/>
      <c r="AC526" s="266"/>
      <c r="AD526" s="266"/>
    </row>
    <row r="527" spans="2:30" ht="15.75" customHeight="1" x14ac:dyDescent="0.25">
      <c r="B527" s="262">
        <v>19</v>
      </c>
      <c r="C527" s="421" t="s">
        <v>973</v>
      </c>
      <c r="D527" s="421"/>
      <c r="E527" s="421"/>
      <c r="F527" s="421"/>
      <c r="G527" s="421"/>
      <c r="H527" s="421"/>
      <c r="I527" s="421"/>
      <c r="J527" s="421"/>
      <c r="K527" s="421"/>
      <c r="L527" s="421"/>
      <c r="M527" s="421"/>
      <c r="N527" s="421"/>
      <c r="O527" s="421"/>
      <c r="R527" s="421"/>
      <c r="S527" s="421"/>
      <c r="T527" s="421"/>
      <c r="U527" s="421"/>
      <c r="V527" s="421"/>
      <c r="W527" s="421"/>
      <c r="X527" s="421"/>
      <c r="Y527" s="421"/>
      <c r="Z527" s="421"/>
      <c r="AA527" s="421"/>
      <c r="AB527" s="47"/>
      <c r="AC527" s="47"/>
      <c r="AD527" s="47"/>
    </row>
    <row r="528" spans="2:30" ht="15.75" x14ac:dyDescent="0.25">
      <c r="B528" s="262">
        <v>20</v>
      </c>
      <c r="C528" s="274" t="s">
        <v>974</v>
      </c>
      <c r="D528" s="256"/>
      <c r="E528" s="256"/>
      <c r="F528" s="256"/>
      <c r="G528" s="256"/>
      <c r="H528" s="256"/>
      <c r="I528" s="256"/>
      <c r="J528" s="256"/>
      <c r="K528" s="256"/>
      <c r="L528" s="256"/>
      <c r="M528" s="256"/>
      <c r="N528" s="256"/>
      <c r="O528" s="256"/>
      <c r="R528" s="256"/>
      <c r="S528" s="256"/>
      <c r="T528" s="256"/>
      <c r="U528" s="256"/>
      <c r="V528" s="256"/>
      <c r="W528" s="256"/>
      <c r="X528" s="256"/>
      <c r="Y528" s="256"/>
      <c r="Z528" s="256"/>
      <c r="AA528" s="256"/>
      <c r="AB528" s="47"/>
      <c r="AC528" s="47"/>
      <c r="AD528" s="47"/>
    </row>
    <row r="529" spans="4:30" ht="15.75" x14ac:dyDescent="0.25">
      <c r="D529" s="262"/>
      <c r="E529" s="265"/>
      <c r="F529" s="265"/>
      <c r="G529" s="265"/>
      <c r="H529" s="265"/>
      <c r="I529" s="265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  <c r="T529" s="265"/>
      <c r="U529" s="265"/>
      <c r="V529" s="265"/>
      <c r="W529" s="265"/>
      <c r="X529" s="265"/>
      <c r="Y529" s="265"/>
      <c r="Z529" s="265"/>
      <c r="AA529" s="265"/>
      <c r="AB529" s="61"/>
      <c r="AC529" s="61"/>
      <c r="AD529" s="61"/>
    </row>
  </sheetData>
  <autoFilter ref="B11:AS486">
    <filterColumn colId="13" showButton="0"/>
    <filterColumn colId="14" showButton="0"/>
    <filterColumn colId="15" showButton="0"/>
    <filterColumn colId="16" showButton="0"/>
    <filterColumn colId="17" showButton="0"/>
  </autoFilter>
  <mergeCells count="24">
    <mergeCell ref="O9:T9"/>
    <mergeCell ref="O11:T11"/>
    <mergeCell ref="Z9:Z10"/>
    <mergeCell ref="U9:U10"/>
    <mergeCell ref="V9:V10"/>
    <mergeCell ref="W9:W10"/>
    <mergeCell ref="X9:X10"/>
    <mergeCell ref="Y9:Y10"/>
    <mergeCell ref="C4:AI4"/>
    <mergeCell ref="Z7:AC7"/>
    <mergeCell ref="Z6:AC6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hyperlinks>
    <hyperlink ref="D74" r:id="rId1" display="http://enstru.skc.kz/ru/ntru/detail/?kpved=33.12.11.14.10.00.00"/>
    <hyperlink ref="D275" r:id="rId2" display="http://enstru.skc.kz/ru/ntru/detail/?kpved=61.20.12.10.00.00.00"/>
    <hyperlink ref="D287" r:id="rId3" display="http://enstru.skc.kz/ru/ntru/detail/?kpved=61.20.11.10.00.00.00"/>
    <hyperlink ref="D289" r:id="rId4" display="http://enstru.skc.kz/ru/main.php "/>
    <hyperlink ref="D313" r:id="rId5" display="http://enstru.skc.kz/ru/main.php "/>
    <hyperlink ref="D420" r:id="rId6" display="http://enstru.skc.kz/ru/ntru/detail/?kpved=61.20.11.10.00.00.00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Ussenbayeva</dc:creator>
  <cp:lastModifiedBy>Aizada Sheriyazdanova</cp:lastModifiedBy>
  <dcterms:created xsi:type="dcterms:W3CDTF">2014-04-04T07:17:19Z</dcterms:created>
  <dcterms:modified xsi:type="dcterms:W3CDTF">2015-01-23T10:09:50Z</dcterms:modified>
</cp:coreProperties>
</file>